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3275" tabRatio="859" firstSheet="4" activeTab="4"/>
  </bookViews>
  <sheets>
    <sheet name="1. Chi tieu KT" sheetId="1" r:id="rId1"/>
    <sheet name="2. CN NN DV" sheetId="2" r:id="rId2"/>
    <sheet name="2.1 - NN " sheetId="3" r:id="rId3"/>
    <sheet name="2.2 - CN DV" sheetId="4" r:id="rId4"/>
    <sheet name="3. XH" sheetId="5" r:id="rId5"/>
    <sheet name="3.1.SNLDVL" sheetId="6" r:id="rId6"/>
    <sheet name="3.2.SN daotao" sheetId="7" r:id="rId7"/>
    <sheet name="3.3.SNGDDT" sheetId="8" r:id="rId8"/>
    <sheet name="3.4.SNYte-Bsg BHYT" sheetId="9" r:id="rId9"/>
    <sheet name="3.5.SNVHTTDL" sheetId="10" r:id="rId10"/>
    <sheet name="4. MT" sheetId="11" r:id="rId11"/>
    <sheet name="5. PTDN" sheetId="12" r:id="rId12"/>
    <sheet name="6. FDI" sheetId="13" r:id="rId13"/>
    <sheet name="7.Cac du an Quy hoach" sheetId="14" r:id="rId14"/>
    <sheet name="8. CNTT" sheetId="15" r:id="rId15"/>
    <sheet name="9. Nhom A DP" sheetId="16" state="hidden" r:id="rId16"/>
    <sheet name="10.TPCP-DP" sheetId="17" state="hidden" r:id="rId17"/>
    <sheet name="11. TƯV" sheetId="18" state="hidden" r:id="rId18"/>
    <sheet name="12.No XDCB" sheetId="19" state="hidden" r:id="rId19"/>
    <sheet name="9. TINH HINH THDA" sheetId="20" r:id="rId20"/>
  </sheets>
  <definedNames>
    <definedName name="__phu2" localSheetId="1" hidden="1">{"'Sheet1'!$L$16"}</definedName>
    <definedName name="__phu2" localSheetId="2" hidden="1">{"'Sheet1'!$L$16"}</definedName>
    <definedName name="__phu2" localSheetId="3" hidden="1">{"'Sheet1'!$L$16"}</definedName>
    <definedName name="__phu2" localSheetId="5" hidden="1">{"'Sheet1'!$L$16"}</definedName>
    <definedName name="__phu2" localSheetId="6" hidden="1">{"'Sheet1'!$L$16"}</definedName>
    <definedName name="__phu2" localSheetId="7" hidden="1">{"'Sheet1'!$L$16"}</definedName>
    <definedName name="__phu2" localSheetId="8" hidden="1">{"'Sheet1'!$L$16"}</definedName>
    <definedName name="__phu2" localSheetId="9" hidden="1">{"'Sheet1'!$L$16"}</definedName>
    <definedName name="__phu2" localSheetId="13" hidden="1">{"'Sheet1'!$L$16"}</definedName>
    <definedName name="__phu2" localSheetId="14" hidden="1">{"'Sheet1'!$L$16"}</definedName>
    <definedName name="__phu2" hidden="1">{"'Sheet1'!$L$16"}</definedName>
    <definedName name="_Fill" localSheetId="1" hidden="1">#REF!</definedName>
    <definedName name="_Fill" localSheetId="2" hidden="1">#REF!</definedName>
    <definedName name="_Fill" localSheetId="3" hidden="1">#REF!</definedName>
    <definedName name="_Fill" localSheetId="4" hidden="1">#REF!</definedName>
    <definedName name="_Fill" localSheetId="5" hidden="1">#REF!</definedName>
    <definedName name="_Fill" localSheetId="6" hidden="1">#REF!</definedName>
    <definedName name="_Fill" localSheetId="7" hidden="1">#REF!</definedName>
    <definedName name="_Fill" localSheetId="8" hidden="1">#REF!</definedName>
    <definedName name="_Fill" localSheetId="9" hidden="1">#REF!</definedName>
    <definedName name="_Fill" localSheetId="11" hidden="1">#REF!</definedName>
    <definedName name="_Fill" localSheetId="12" hidden="1">#REF!</definedName>
    <definedName name="_Fill" hidden="1">#REF!</definedName>
    <definedName name="_Key1" localSheetId="2" hidden="1">#REF!</definedName>
    <definedName name="_Key1" localSheetId="3" hidden="1">#REF!</definedName>
    <definedName name="_Key1" localSheetId="5" hidden="1">#REF!</definedName>
    <definedName name="_Key1" localSheetId="6" hidden="1">#REF!</definedName>
    <definedName name="_Key1" localSheetId="7" hidden="1">#REF!</definedName>
    <definedName name="_Key1" localSheetId="8" hidden="1">#REF!</definedName>
    <definedName name="_Key1" localSheetId="9" hidden="1">#REF!</definedName>
    <definedName name="_Key1" hidden="1">#REF!</definedName>
    <definedName name="_Key2" localSheetId="2" hidden="1">#REF!</definedName>
    <definedName name="_Key2" localSheetId="3" hidden="1">#REF!</definedName>
    <definedName name="_Key2" localSheetId="5" hidden="1">#REF!</definedName>
    <definedName name="_Key2" localSheetId="6" hidden="1">#REF!</definedName>
    <definedName name="_Key2" localSheetId="7" hidden="1">#REF!</definedName>
    <definedName name="_Key2" localSheetId="8" hidden="1">#REF!</definedName>
    <definedName name="_Key2" localSheetId="9" hidden="1">#REF!</definedName>
    <definedName name="_Key2" hidden="1">#REF!</definedName>
    <definedName name="_Order1" hidden="1">255</definedName>
    <definedName name="_Order2" hidden="1">255</definedName>
    <definedName name="_phu2" localSheetId="1" hidden="1">{"'Sheet1'!$L$16"}</definedName>
    <definedName name="_phu2" localSheetId="2" hidden="1">{"'Sheet1'!$L$16"}</definedName>
    <definedName name="_phu2" localSheetId="3" hidden="1">{"'Sheet1'!$L$16"}</definedName>
    <definedName name="_phu2" localSheetId="5" hidden="1">{"'Sheet1'!$L$16"}</definedName>
    <definedName name="_phu2" localSheetId="6" hidden="1">{"'Sheet1'!$L$16"}</definedName>
    <definedName name="_phu2" localSheetId="7" hidden="1">{"'Sheet1'!$L$16"}</definedName>
    <definedName name="_phu2" localSheetId="8" hidden="1">{"'Sheet1'!$L$16"}</definedName>
    <definedName name="_phu2" localSheetId="9" hidden="1">{"'Sheet1'!$L$16"}</definedName>
    <definedName name="_phu2" localSheetId="13" hidden="1">{"'Sheet1'!$L$16"}</definedName>
    <definedName name="_phu2" localSheetId="14" hidden="1">{"'Sheet1'!$L$16"}</definedName>
    <definedName name="_phu2" hidden="1">{"'Sheet1'!$L$16"}</definedName>
    <definedName name="_Sort" localSheetId="1" hidden="1">#REF!</definedName>
    <definedName name="_Sort" localSheetId="2" hidden="1">#REF!</definedName>
    <definedName name="_Sort" localSheetId="3" hidden="1">#REF!</definedName>
    <definedName name="_Sort" localSheetId="4" hidden="1">#REF!</definedName>
    <definedName name="_Sort" localSheetId="5" hidden="1">#REF!</definedName>
    <definedName name="_Sort" localSheetId="6" hidden="1">#REF!</definedName>
    <definedName name="_Sort" localSheetId="7" hidden="1">#REF!</definedName>
    <definedName name="_Sort" localSheetId="8" hidden="1">#REF!</definedName>
    <definedName name="_Sort" localSheetId="9" hidden="1">#REF!</definedName>
    <definedName name="_Sort" localSheetId="11" hidden="1">#REF!</definedName>
    <definedName name="_Sort" localSheetId="12" hidden="1">#REF!</definedName>
    <definedName name="_Sort" hidden="1">#REF!</definedName>
    <definedName name="dđ" localSheetId="1" hidden="1">{"'Sheet1'!$L$16"}</definedName>
    <definedName name="dđ" localSheetId="2" hidden="1">{"'Sheet1'!$L$16"}</definedName>
    <definedName name="dđ" localSheetId="3" hidden="1">{"'Sheet1'!$L$16"}</definedName>
    <definedName name="dđ" localSheetId="4" hidden="1">{"'Sheet1'!$L$16"}</definedName>
    <definedName name="dđ" localSheetId="5" hidden="1">{"'Sheet1'!$L$16"}</definedName>
    <definedName name="dđ" localSheetId="6" hidden="1">{"'Sheet1'!$L$16"}</definedName>
    <definedName name="dđ" localSheetId="7" hidden="1">{"'Sheet1'!$L$16"}</definedName>
    <definedName name="dđ" localSheetId="8" hidden="1">{"'Sheet1'!$L$16"}</definedName>
    <definedName name="dđ" localSheetId="9" hidden="1">{"'Sheet1'!$L$16"}</definedName>
    <definedName name="dđ" localSheetId="11" hidden="1">{"'Sheet1'!$L$16"}</definedName>
    <definedName name="dđ" localSheetId="12" hidden="1">{"'Sheet1'!$L$16"}</definedName>
    <definedName name="dđ" localSheetId="13" hidden="1">{"'Sheet1'!$L$16"}</definedName>
    <definedName name="dđ" localSheetId="14" hidden="1">{"'Sheet1'!$L$16"}</definedName>
    <definedName name="dđ" hidden="1">{"'Sheet1'!$L$16"}</definedName>
    <definedName name="fff" localSheetId="1" hidden="1">{"'Sheet1'!$L$16"}</definedName>
    <definedName name="fff" localSheetId="2" hidden="1">{"'Sheet1'!$L$16"}</definedName>
    <definedName name="fff" localSheetId="3" hidden="1">{"'Sheet1'!$L$16"}</definedName>
    <definedName name="fff" localSheetId="5" hidden="1">{"'Sheet1'!$L$16"}</definedName>
    <definedName name="fff" localSheetId="6" hidden="1">{"'Sheet1'!$L$16"}</definedName>
    <definedName name="fff" localSheetId="7" hidden="1">{"'Sheet1'!$L$16"}</definedName>
    <definedName name="fff" localSheetId="8" hidden="1">{"'Sheet1'!$L$16"}</definedName>
    <definedName name="fff" localSheetId="9" hidden="1">{"'Sheet1'!$L$16"}</definedName>
    <definedName name="fff" localSheetId="13" hidden="1">{"'Sheet1'!$L$16"}</definedName>
    <definedName name="fff" localSheetId="14" hidden="1">{"'Sheet1'!$L$16"}</definedName>
    <definedName name="fff" hidden="1">{"'Sheet1'!$L$16"}</definedName>
    <definedName name="h" localSheetId="1" hidden="1">{"'Sheet1'!$L$16"}</definedName>
    <definedName name="h" localSheetId="2" hidden="1">{"'Sheet1'!$L$16"}</definedName>
    <definedName name="h" localSheetId="3" hidden="1">{"'Sheet1'!$L$16"}</definedName>
    <definedName name="h" localSheetId="4" hidden="1">{"'Sheet1'!$L$16"}</definedName>
    <definedName name="h" localSheetId="5" hidden="1">{"'Sheet1'!$L$16"}</definedName>
    <definedName name="h" localSheetId="6" hidden="1">{"'Sheet1'!$L$16"}</definedName>
    <definedName name="h" localSheetId="7" hidden="1">{"'Sheet1'!$L$16"}</definedName>
    <definedName name="h" localSheetId="8" hidden="1">{"'Sheet1'!$L$16"}</definedName>
    <definedName name="h" localSheetId="9" hidden="1">{"'Sheet1'!$L$16"}</definedName>
    <definedName name="h" localSheetId="11" hidden="1">{"'Sheet1'!$L$16"}</definedName>
    <definedName name="h" localSheetId="12" hidden="1">{"'Sheet1'!$L$16"}</definedName>
    <definedName name="h" localSheetId="13" hidden="1">{"'Sheet1'!$L$16"}</definedName>
    <definedName name="h" localSheetId="14" hidden="1">{"'Sheet1'!$L$16"}</definedName>
    <definedName name="h" hidden="1">{"'Sheet1'!$L$16"}</definedName>
    <definedName name="hh" localSheetId="1" hidden="1">{"'Sheet1'!$L$16"}</definedName>
    <definedName name="hh" localSheetId="2" hidden="1">{"'Sheet1'!$L$16"}</definedName>
    <definedName name="hh" localSheetId="3" hidden="1">{"'Sheet1'!$L$16"}</definedName>
    <definedName name="hh" localSheetId="5" hidden="1">{"'Sheet1'!$L$16"}</definedName>
    <definedName name="hh" localSheetId="6" hidden="1">{"'Sheet1'!$L$16"}</definedName>
    <definedName name="hh" localSheetId="7" hidden="1">{"'Sheet1'!$L$16"}</definedName>
    <definedName name="hh" localSheetId="8" hidden="1">{"'Sheet1'!$L$16"}</definedName>
    <definedName name="hh" localSheetId="9" hidden="1">{"'Sheet1'!$L$16"}</definedName>
    <definedName name="hh" localSheetId="13" hidden="1">{"'Sheet1'!$L$16"}</definedName>
    <definedName name="hh" localSheetId="14" hidden="1">{"'Sheet1'!$L$16"}</definedName>
    <definedName name="hh" hidden="1">{"'Sheet1'!$L$16"}</definedName>
    <definedName name="HTML_CodePage" hidden="1">950</definedName>
    <definedName name="HTML_Control" localSheetId="1" hidden="1">{"'Sheet1'!$L$16"}</definedName>
    <definedName name="HTML_Control" localSheetId="2" hidden="1">{"'Sheet1'!$L$16"}</definedName>
    <definedName name="HTML_Control" localSheetId="3" hidden="1">{"'Sheet1'!$L$16"}</definedName>
    <definedName name="HTML_Control" localSheetId="4" hidden="1">{"'Sheet1'!$L$16"}</definedName>
    <definedName name="HTML_Control" localSheetId="5" hidden="1">{"'Sheet1'!$L$16"}</definedName>
    <definedName name="HTML_Control" localSheetId="6" hidden="1">{"'Sheet1'!$L$16"}</definedName>
    <definedName name="HTML_Control" localSheetId="7" hidden="1">{"'Sheet1'!$L$16"}</definedName>
    <definedName name="HTML_Control" localSheetId="8" hidden="1">{"'Sheet1'!$L$16"}</definedName>
    <definedName name="HTML_Control" localSheetId="9" hidden="1">{"'Sheet1'!$L$16"}</definedName>
    <definedName name="HTML_Control" localSheetId="11" hidden="1">{"'Sheet1'!$L$16"}</definedName>
    <definedName name="HTML_Control" localSheetId="12" hidden="1">{"'Sheet1'!$L$16"}</definedName>
    <definedName name="HTML_Control" localSheetId="13" hidden="1">{"'Sheet1'!$L$16"}</definedName>
    <definedName name="HTML_Control" localSheetId="14"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localSheetId="5" hidden="1">"C:\2689\Q\??\00q3961????PTA3??\MyHTML.htm"</definedName>
    <definedName name="HTML_PathFile" hidden="1">"C:\2689\Q\國內\00q3961台化龍德PTA3建造\MyHTML.htm"</definedName>
    <definedName name="HTML_Title" hidden="1">"00Q3961-SUM"</definedName>
    <definedName name="huy" localSheetId="1" hidden="1">{"'Sheet1'!$L$16"}</definedName>
    <definedName name="huy" localSheetId="2" hidden="1">{"'Sheet1'!$L$16"}</definedName>
    <definedName name="huy" localSheetId="3" hidden="1">{"'Sheet1'!$L$16"}</definedName>
    <definedName name="huy" localSheetId="4" hidden="1">{"'Sheet1'!$L$16"}</definedName>
    <definedName name="huy" localSheetId="5" hidden="1">{"'Sheet1'!$L$16"}</definedName>
    <definedName name="huy" localSheetId="6" hidden="1">{"'Sheet1'!$L$16"}</definedName>
    <definedName name="huy" localSheetId="7" hidden="1">{"'Sheet1'!$L$16"}</definedName>
    <definedName name="huy" localSheetId="8" hidden="1">{"'Sheet1'!$L$16"}</definedName>
    <definedName name="huy" localSheetId="9" hidden="1">{"'Sheet1'!$L$16"}</definedName>
    <definedName name="huy" localSheetId="11" hidden="1">{"'Sheet1'!$L$16"}</definedName>
    <definedName name="huy" localSheetId="12" hidden="1">{"'Sheet1'!$L$16"}</definedName>
    <definedName name="huy" localSheetId="13" hidden="1">{"'Sheet1'!$L$16"}</definedName>
    <definedName name="huy" localSheetId="14" hidden="1">{"'Sheet1'!$L$16"}</definedName>
    <definedName name="huy" hidden="1">{"'Sheet1'!$L$16"}</definedName>
    <definedName name="_xlnm.Print_Area" localSheetId="0">'1. Chi tieu KT'!$A$1:$K$63</definedName>
    <definedName name="_xlnm.Print_Area" localSheetId="16">'10.TPCP-DP'!$A$1:$AD$61</definedName>
    <definedName name="_xlnm.Print_Area" localSheetId="17">'11. TƯV'!$A$1:$I$27</definedName>
    <definedName name="_xlnm.Print_Area" localSheetId="18">'12.No XDCB'!$A$1:$O$27</definedName>
    <definedName name="_xlnm.Print_Area" localSheetId="1">'2. CN NN DV'!$A$1:$K$93</definedName>
    <definedName name="_xlnm.Print_Area" localSheetId="2">'2.1 - NN '!$A$1:$S$60</definedName>
    <definedName name="_xlnm.Print_Area" localSheetId="3">'2.2 - CN DV'!$A$1:$S$52</definedName>
    <definedName name="_xlnm.Print_Area" localSheetId="4">'3. XH'!$A$1:$K$62</definedName>
    <definedName name="_xlnm.Print_Area" localSheetId="5">'3.1.SNLDVL'!$A$1:$R$88</definedName>
    <definedName name="_xlnm.Print_Area" localSheetId="6">'3.2.SN daotao'!#REF!</definedName>
    <definedName name="_xlnm.Print_Area" localSheetId="7">'3.3.SNGDDT'!$A$1:$R$115</definedName>
    <definedName name="_xlnm.Print_Area" localSheetId="8">'3.4.SNYte-Bsg BHYT'!$A$1:$R$141</definedName>
    <definedName name="_xlnm.Print_Area" localSheetId="9">'3.5.SNVHTTDL'!$A$1:$R$83</definedName>
    <definedName name="_xlnm.Print_Area" localSheetId="10">'4. MT'!$A$1:$J$14</definedName>
    <definedName name="_xlnm.Print_Area" localSheetId="11">'5. PTDN'!$A$1:$J$56</definedName>
    <definedName name="_xlnm.Print_Area" localSheetId="12">'6. FDI'!$A$1:$J$46</definedName>
    <definedName name="_xlnm.Print_Area" localSheetId="13">'7.Cac du an Quy hoach'!$A$1:$J$19</definedName>
    <definedName name="_xlnm.Print_Area" localSheetId="14">'8. CNTT'!$A$1:$S$80</definedName>
    <definedName name="_xlnm.Print_Area" localSheetId="15">'9. Nhom A DP'!$A$1:$AQ$75</definedName>
    <definedName name="_xlnm.Print_Titles" localSheetId="0">'1. Chi tieu KT'!$6:$7</definedName>
    <definedName name="_xlnm.Print_Titles" localSheetId="16">'10.TPCP-DP'!$4:$7</definedName>
    <definedName name="_xlnm.Print_Titles" localSheetId="18">'12.No XDCB'!$5:$6</definedName>
    <definedName name="_xlnm.Print_Titles" localSheetId="1">'2. CN NN DV'!$6:$7</definedName>
    <definedName name="_xlnm.Print_Titles" localSheetId="2">'2.1 - NN '!$8:$10</definedName>
    <definedName name="_xlnm.Print_Titles" localSheetId="3">'2.2 - CN DV'!$5:$7</definedName>
    <definedName name="_xlnm.Print_Titles" localSheetId="4">'3. XH'!$5:$6</definedName>
    <definedName name="_xlnm.Print_Titles" localSheetId="5">'3.1.SNLDVL'!$5:$7</definedName>
    <definedName name="_xlnm.Print_Titles" localSheetId="7">'3.3.SNGDDT'!$5:$6</definedName>
    <definedName name="_xlnm.Print_Titles" localSheetId="8">'3.4.SNYte-Bsg BHYT'!$5:$6</definedName>
    <definedName name="_xlnm.Print_Titles" localSheetId="9">'3.5.SNVHTTDL'!$5:$6</definedName>
    <definedName name="_xlnm.Print_Titles" localSheetId="10">'4. MT'!$8:$8</definedName>
    <definedName name="_xlnm.Print_Titles" localSheetId="11">'5. PTDN'!$5:$7</definedName>
    <definedName name="_xlnm.Print_Titles" localSheetId="12">'6. FDI'!$7:$8</definedName>
    <definedName name="_xlnm.Print_Titles" localSheetId="13">'7.Cac du an Quy hoach'!$6:$8</definedName>
    <definedName name="_xlnm.Print_Titles" localSheetId="15">'9. Nhom A DP'!$4:$8</definedName>
    <definedName name="_xlnm.Print_Titles" localSheetId="19">'9. TINH HINH THDA'!$5:$6</definedName>
    <definedName name="TaxTV">10%</definedName>
    <definedName name="TaxXL">5%</definedName>
    <definedName name="thu" localSheetId="1" hidden="1">{"'Sheet1'!$L$16"}</definedName>
    <definedName name="thu" localSheetId="2" hidden="1">{"'Sheet1'!$L$16"}</definedName>
    <definedName name="thu" localSheetId="3" hidden="1">{"'Sheet1'!$L$16"}</definedName>
    <definedName name="thu" localSheetId="5" hidden="1">{"'Sheet1'!$L$16"}</definedName>
    <definedName name="thu" localSheetId="6" hidden="1">{"'Sheet1'!$L$16"}</definedName>
    <definedName name="thu" localSheetId="7" hidden="1">{"'Sheet1'!$L$16"}</definedName>
    <definedName name="thu" localSheetId="8" hidden="1">{"'Sheet1'!$L$16"}</definedName>
    <definedName name="thu" localSheetId="9" hidden="1">{"'Sheet1'!$L$16"}</definedName>
    <definedName name="thu" localSheetId="13" hidden="1">{"'Sheet1'!$L$16"}</definedName>
    <definedName name="thu" localSheetId="14" hidden="1">{"'Sheet1'!$L$16"}</definedName>
    <definedName name="thu" hidden="1">{"'Sheet1'!$L$16"}</definedName>
    <definedName name="wrn.chi._.tiÆt." localSheetId="1" hidden="1">{#N/A,#N/A,FALSE,"Chi ti?t"}</definedName>
    <definedName name="wrn.chi._.tiÆt." localSheetId="2" hidden="1">{#N/A,#N/A,FALSE,"Chi ti?t"}</definedName>
    <definedName name="wrn.chi._.tiÆt." localSheetId="3" hidden="1">{#N/A,#N/A,FALSE,"Chi ti?t"}</definedName>
    <definedName name="wrn.chi._.tiÆt." localSheetId="5" hidden="1">{#N/A,#N/A,FALSE,"Chi ti?t"}</definedName>
    <definedName name="wrn.chi._.tiÆt." localSheetId="6" hidden="1">{#N/A,#N/A,FALSE,"Chi ti?t"}</definedName>
    <definedName name="wrn.chi._.tiÆt." localSheetId="7" hidden="1">{#N/A,#N/A,FALSE,"Chi ti?t"}</definedName>
    <definedName name="wrn.chi._.tiÆt." localSheetId="8" hidden="1">{#N/A,#N/A,FALSE,"Chi ti?t"}</definedName>
    <definedName name="wrn.chi._.tiÆt." localSheetId="9" hidden="1">{#N/A,#N/A,FALSE,"Chi ti?t"}</definedName>
    <definedName name="wrn.chi._.tiÆt." localSheetId="13" hidden="1">{#N/A,#N/A,FALSE,"Chi ti?t"}</definedName>
    <definedName name="wrn.chi._.tiÆt." localSheetId="14" hidden="1">{#N/A,#N/A,FALSE,"Chi ti?t"}</definedName>
    <definedName name="wrn.chi._.tiÆt." hidden="1">{#N/A,#N/A,FALSE,"Chi ti?t"}</definedName>
  </definedNames>
  <calcPr fullCalcOnLoad="1"/>
</workbook>
</file>

<file path=xl/comments3.xml><?xml version="1.0" encoding="utf-8"?>
<comments xmlns="http://schemas.openxmlformats.org/spreadsheetml/2006/main">
  <authors>
    <author>Windows</author>
  </authors>
  <commentList>
    <comment ref="F37" authorId="0">
      <text>
        <r>
          <rPr>
            <b/>
            <sz val="9"/>
            <rFont val="Tahoma"/>
            <family val="2"/>
          </rPr>
          <t>Windows:</t>
        </r>
        <r>
          <rPr>
            <sz val="9"/>
            <rFont val="Tahoma"/>
            <family val="2"/>
          </rPr>
          <t xml:space="preserve">
giảm 209,4ha do Mường Ảng chuyển 12,6ha trồng tranh leo; Tuần Giáo 15ha trồng Mắc Ca; và 100,3ha do không chăm sóc nên chết; Mường Nhé giảm 81,5ha do không chăm sóc nên chết
</t>
        </r>
      </text>
    </comment>
    <comment ref="U36" authorId="0">
      <text>
        <r>
          <rPr>
            <b/>
            <sz val="9"/>
            <rFont val="Tahoma"/>
            <family val="2"/>
          </rPr>
          <t>Windows:</t>
        </r>
        <r>
          <rPr>
            <sz val="9"/>
            <rFont val="Tahoma"/>
            <family val="2"/>
          </rPr>
          <t xml:space="preserve">
giảm 209,4ha do Mường Ảng chuyển 12,6ha trồng tranh leo; Tuần Giáo 15ha trồng Mắc Ca; và 100,3ha do không chăm sóc nên chết; Mường Nhé giảm 81,5ha do không chăm sóc nên chết
</t>
        </r>
      </text>
    </comment>
  </commentList>
</comments>
</file>

<file path=xl/sharedStrings.xml><?xml version="1.0" encoding="utf-8"?>
<sst xmlns="http://schemas.openxmlformats.org/spreadsheetml/2006/main" count="2643" uniqueCount="1402">
  <si>
    <t>Tỉnh, thành phố . . . . . . . .</t>
  </si>
  <si>
    <t>Biểu số 1</t>
  </si>
  <si>
    <t>TT</t>
  </si>
  <si>
    <t>Chỉ tiêu</t>
  </si>
  <si>
    <t>Đơn vị</t>
  </si>
  <si>
    <t>Kế hoạch</t>
  </si>
  <si>
    <t>Ước thực hiện 6 tháng</t>
  </si>
  <si>
    <t>Ước thực hiện cả năm</t>
  </si>
  <si>
    <t xml:space="preserve">Tổng sản phẩm trên địa bàn tỉnh, thành phố trực thuộc Trung ương (GRDP) </t>
  </si>
  <si>
    <t>Tỷ đồng</t>
  </si>
  <si>
    <t>Trong đó:</t>
  </si>
  <si>
    <t>-</t>
  </si>
  <si>
    <t>Nông, lâm nghiệp, thuỷ sản</t>
  </si>
  <si>
    <t>Công nghiệp và xây dựng</t>
  </si>
  <si>
    <t>Dịch vụ</t>
  </si>
  <si>
    <t>Thuế sản phẩm trừ trợ cấp</t>
  </si>
  <si>
    <t xml:space="preserve">GRDP (giá hiện hành) </t>
  </si>
  <si>
    <t>GRDP bình quân đầu người</t>
  </si>
  <si>
    <t>Triệu đồng</t>
  </si>
  <si>
    <t>%</t>
  </si>
  <si>
    <t>Tổng mức bán lẻ hàng hoá và doanh thu dịch vụ tiêu dùng trên địa bàn</t>
  </si>
  <si>
    <t>Kim ngạch xuất khẩu hàng hóa trên địa bàn</t>
  </si>
  <si>
    <t>Triệu USD</t>
  </si>
  <si>
    <t xml:space="preserve">Trong đó: Xuất khẩu địa phương (quản lý) </t>
  </si>
  <si>
    <t>Kim ngạch nhập khẩu hàng hóa trên địa bàn</t>
  </si>
  <si>
    <t>Thu Ngân sách Nhà nước trên địa bàn (không bao gồm số bổ sung từ NSTW)</t>
  </si>
  <si>
    <t>Thu thuế xuất, nhập khẩu</t>
  </si>
  <si>
    <t>Thu nội địa</t>
  </si>
  <si>
    <t>+ Thu từ kinh tế Trung ương</t>
  </si>
  <si>
    <t>+ Thu quốc doanh địa phương</t>
  </si>
  <si>
    <t>+ Thu ngoài quốc doanh</t>
  </si>
  <si>
    <t>+ Thu từ khu vực có vốn đầu tư nước ngoài</t>
  </si>
  <si>
    <t>Ngân sách Trung ương bổ sung cho ngân sách địa phương (hoặc điều tiết về Ngân sách Trung ương)</t>
  </si>
  <si>
    <t>Chi ngân sách địa phương</t>
  </si>
  <si>
    <t>a)</t>
  </si>
  <si>
    <t>Chi đầu tư phát triển do địa phương quản lý</t>
  </si>
  <si>
    <t>Vốn cân đối ngân sách địa phương</t>
  </si>
  <si>
    <t>+ Đầu tư từ nguồn thu tiền sử dụng đất</t>
  </si>
  <si>
    <t>+ Thu từ xổ số kiến thiết</t>
  </si>
  <si>
    <t>b)</t>
  </si>
  <si>
    <t>Chi thường xuyên</t>
  </si>
  <si>
    <t>Tổng vốn đầu tư phát triển trên địa bàn</t>
  </si>
  <si>
    <t>Trung ương quản lý</t>
  </si>
  <si>
    <t>Địa phương quản lý</t>
  </si>
  <si>
    <t>Vốn đầu tư trực tiếp nước ngoài (FDI)</t>
  </si>
  <si>
    <t>Biểu số 2</t>
  </si>
  <si>
    <t>A</t>
  </si>
  <si>
    <t>NÔNG, LÂM NGHIỆP VÀ THUỶ SẢN</t>
  </si>
  <si>
    <t>c)</t>
  </si>
  <si>
    <t>Năng suất, sản lượng một số cây trồng chủ  yếu trên địa bàn</t>
  </si>
  <si>
    <t>Lúa cả năm:</t>
  </si>
  <si>
    <t>Năng suất</t>
  </si>
  <si>
    <t>Tạ/ha</t>
  </si>
  <si>
    <t>Sản lượng</t>
  </si>
  <si>
    <t>Triệu tấn</t>
  </si>
  <si>
    <t>Ngô:</t>
  </si>
  <si>
    <t>Một số cây lâu năm:</t>
  </si>
  <si>
    <t>Thịt hơi các loại</t>
  </si>
  <si>
    <t>Nghìn tấn</t>
  </si>
  <si>
    <t xml:space="preserve">  Trong đó: Thịt lợn</t>
  </si>
  <si>
    <t>Lâm nghiệp</t>
  </si>
  <si>
    <t>Lâm sinh</t>
  </si>
  <si>
    <t>- Khoán bảo vệ rừng</t>
  </si>
  <si>
    <t>Nghìn ha</t>
  </si>
  <si>
    <t>- Khoanh nuôi rừng tái sinh</t>
  </si>
  <si>
    <t>Diện tích rừng trồng mới tập trung</t>
  </si>
  <si>
    <t xml:space="preserve">  Trong đó:</t>
  </si>
  <si>
    <t xml:space="preserve">  + Rừng phòng hộ đặc dụng</t>
  </si>
  <si>
    <t xml:space="preserve">  + Rừng sản xuất và trồng thay thế</t>
  </si>
  <si>
    <t>- Trồng cây phân tán</t>
  </si>
  <si>
    <t>- Chăm sóc rừng trồng</t>
  </si>
  <si>
    <t>Tỷ lệ che phủ rừng</t>
  </si>
  <si>
    <t>Khai thác gỗ</t>
  </si>
  <si>
    <t>- Tổng số gỗ khai thác</t>
  </si>
  <si>
    <t>Nghìn m3</t>
  </si>
  <si>
    <t xml:space="preserve">  + Gỗ tự nhiên</t>
  </si>
  <si>
    <t xml:space="preserve">  + Gỗ rừng trồng</t>
  </si>
  <si>
    <t>Thủy sản</t>
  </si>
  <si>
    <t>Sản lượng khai thác</t>
  </si>
  <si>
    <t>Sản lượng nuôi trồng</t>
  </si>
  <si>
    <t xml:space="preserve">   + Cá nuôi</t>
  </si>
  <si>
    <t xml:space="preserve">   + Tôm nuôi</t>
  </si>
  <si>
    <t>Phát triển nông thôn</t>
  </si>
  <si>
    <t>Xã</t>
  </si>
  <si>
    <t>Tỷ lệ dân số nông thôn được sử dụng nước hợp vệ sinh</t>
  </si>
  <si>
    <t>Số tiêu chí nông thôn mới bình quân đạt được bình quân/xã</t>
  </si>
  <si>
    <t>Tiêu chí</t>
  </si>
  <si>
    <t>xã</t>
  </si>
  <si>
    <t>B</t>
  </si>
  <si>
    <t>CÔNG NGHIỆP</t>
  </si>
  <si>
    <t>Giá trị sản xuất công nghiệp  theo giá so sánh năm 2010</t>
  </si>
  <si>
    <t>Tỷ đồng</t>
  </si>
  <si>
    <t>Chỉ số sản xuất công nghiệp (IIP) so với cùng kỳ theo gốc năm 2010</t>
  </si>
  <si>
    <t>Công nghiệp khai khoáng</t>
  </si>
  <si>
    <t>Công nghiệp chế biến, chế tạo</t>
  </si>
  <si>
    <t>Sản xuất và phân phối điện, khí đốt, nước</t>
  </si>
  <si>
    <t>Cung cấp nước, quản lý và xử lý rác thải, nước thải</t>
  </si>
  <si>
    <t>Một số sản phẩm chủ yếu:</t>
  </si>
  <si>
    <t>C</t>
  </si>
  <si>
    <t>DỊCH VỤ</t>
  </si>
  <si>
    <t>Tổng mức bán lẻ hàng hoá và doanh thu dịch vụ tiêu dùng (giá hiện hành)</t>
  </si>
  <si>
    <t>D</t>
  </si>
  <si>
    <t>XUẤT NHẬP KHẨU</t>
  </si>
  <si>
    <t>Biểu số 3</t>
  </si>
  <si>
    <t>I</t>
  </si>
  <si>
    <t>DÂN SỐ</t>
  </si>
  <si>
    <t>Dân số trung bình</t>
  </si>
  <si>
    <t>Trong đó: Dân số nông thôn</t>
  </si>
  <si>
    <t>Dân số là dân tộc thiểu số</t>
  </si>
  <si>
    <t>Nghìn người</t>
  </si>
  <si>
    <t>Tuổi thọ trung bình</t>
  </si>
  <si>
    <t>Tuổi</t>
  </si>
  <si>
    <t>Tỷ số giới tính của trẻ em mới sinh</t>
  </si>
  <si>
    <t>Số bé trai/ 100 bé gái</t>
  </si>
  <si>
    <t>II</t>
  </si>
  <si>
    <t>LAO ĐỘNG VÀ VIỆC LÀM</t>
  </si>
  <si>
    <t>Ngh.người</t>
  </si>
  <si>
    <t>Tỷ lệ lao động được đào tạo so với tổng số lao động</t>
  </si>
  <si>
    <t>III</t>
  </si>
  <si>
    <t xml:space="preserve">Tổng số hộ của toàn tỉnh/thành phố </t>
  </si>
  <si>
    <t>Số hộ nghèo</t>
  </si>
  <si>
    <t>Số hộ thiếu đói trong năm</t>
  </si>
  <si>
    <t>Hộ</t>
  </si>
  <si>
    <t>Mức giảm tỷ lệ hộ nghèo</t>
  </si>
  <si>
    <t>Số hộ cận nghèo</t>
  </si>
  <si>
    <t>Tỷ lệ hộ cận nghèo</t>
  </si>
  <si>
    <t>Số hộ thoát nghèo</t>
  </si>
  <si>
    <t>IV</t>
  </si>
  <si>
    <t>CUNG CẤP CÁC DỊCH VỤ CƠ SỞ HẠ TẦNG THIẾT YẾU</t>
  </si>
  <si>
    <t xml:space="preserve">Tổng số xã của toàn tỉnh/thành phố </t>
  </si>
  <si>
    <t>+ Số xã đặc biệt khó khăn (theo tiêu chuẩn của Chương trình 135)</t>
  </si>
  <si>
    <t>+ Số xã biên giới (nếu có)</t>
  </si>
  <si>
    <t>+ Số xã có đường ô tô đến trung tâm</t>
  </si>
  <si>
    <t>+ Tỷ lệ xã có đường ô tô đến trung tâm</t>
  </si>
  <si>
    <t>+ Số xã có trạm y tế</t>
  </si>
  <si>
    <t>+ Tỷ lệ xã có trạm y tế</t>
  </si>
  <si>
    <t>Xã, phường</t>
  </si>
  <si>
    <t>+ Số xã có bưu điện văn hoá xã</t>
  </si>
  <si>
    <t>+ Tỷ lệ xã có bưu điện văn hoá xã</t>
  </si>
  <si>
    <t>+ Số xã có chợ xã, liên xã</t>
  </si>
  <si>
    <t>+ Tỷ lệ xã có chợ xã, liên xã</t>
  </si>
  <si>
    <t>Số hộ được sử dụng điện</t>
  </si>
  <si>
    <t>Tỷ lệ hộ được sử dụng điện</t>
  </si>
  <si>
    <t xml:space="preserve">  + Khu vực thành thị</t>
  </si>
  <si>
    <t xml:space="preserve">  + Khu vực nông thôn</t>
  </si>
  <si>
    <t>V</t>
  </si>
  <si>
    <t>Y TẾ - XÃ HỘI</t>
  </si>
  <si>
    <t>Tỷ lệ dân số tham gia bảo hiểm y tế</t>
  </si>
  <si>
    <t>Số giường bệnh/1 vạn dân (không tính giường trạm y tế xã)</t>
  </si>
  <si>
    <t>Giường</t>
  </si>
  <si>
    <t>Số bác sỹ/1 vạn dân</t>
  </si>
  <si>
    <t>Bác sỹ</t>
  </si>
  <si>
    <t>Tỷ lệ trạm y tế xã, phường, thị trấn có bác sỹ làm việc</t>
  </si>
  <si>
    <t>Tỷ lệ xã đạt tiêu chí quốc gia về y tế</t>
  </si>
  <si>
    <t>Tỷ suất tử vong trẻ em dưới 1 tuổi</t>
  </si>
  <si>
    <t>‰</t>
  </si>
  <si>
    <t xml:space="preserve">Tỷ lệ trẻ em dưới 5 tuổi suy dinh dưỡng (cân nặng theo tuổi) </t>
  </si>
  <si>
    <t>xã, phường</t>
  </si>
  <si>
    <t>Biểu số 4</t>
  </si>
  <si>
    <t>CÁC CHỈ TIÊU MÔI TRƯỜNG VÀ PHÁT TRIỂN BỀN VỮNG</t>
  </si>
  <si>
    <t>Tỷ lệ chất thải rắn ở đô thị được thu gom</t>
  </si>
  <si>
    <t>Số cơ sở gây ô nhiễm môi trường nghiêm trọng được xử lý  (*)</t>
  </si>
  <si>
    <t>Ghi chú: (*) Giai đoạn 2011-2015 thực hiện theo Quyết định số 64/2003/QĐ-TTg; giai đoạn 2016-2020 thực hiện theo Quyết định số 1788/QĐ-TTg ngày 01/10/2013 của Thủ tướng Chính phủ</t>
  </si>
  <si>
    <t>Biểu số 5</t>
  </si>
  <si>
    <t>CÁC CHỈ TIÊU PHÁT TRIỂN DOANH NGHIỆP VÀ KINH TẾ TẬP THỂ</t>
  </si>
  <si>
    <t>PHÁT TRIỂN DOANH NGHIỆP</t>
  </si>
  <si>
    <t>Doanh nghiệp 100% vốn nhà nước (DNNN)</t>
  </si>
  <si>
    <t>Số lượng doanh nghiệp</t>
  </si>
  <si>
    <t>Doanh nghiệp</t>
  </si>
  <si>
    <t>Nộp ngân sách nhà nước</t>
  </si>
  <si>
    <t>Tổng lợi nhuận</t>
  </si>
  <si>
    <t>Hình thức sắp xếp doanh nghiệp</t>
  </si>
  <si>
    <t>- Số doanh nghiệp giữ nguyên 100% vốn nhà nước</t>
  </si>
  <si>
    <t>- Số doanh nghiệp thực hiện cổ phần hóa</t>
  </si>
  <si>
    <t>- Số doanh nghiệp sắp xếp theo hình thức khác (bán, hợp nhất, sáp nhập,…)</t>
  </si>
  <si>
    <t>Doanh nghiệp ngoài nhà nước</t>
  </si>
  <si>
    <t>Số doanh nghiệp đang hoạt động (lũy kế đến kỳ báo cáo)</t>
  </si>
  <si>
    <t>Trong đó: Số doanh nghiệp có phần vốn của nhà nước</t>
  </si>
  <si>
    <t>Số doanh nghiệp tư nhân trong nước đăng ký thành lập mới</t>
  </si>
  <si>
    <t>Tổng số vốn đăng ký của doanh nghiệp tư nhân trong nước</t>
  </si>
  <si>
    <t>Trong đó: Tổng vốn nhà nước đầu tư tại doanh nghiệp có phần vốn của nhà nước</t>
  </si>
  <si>
    <t>Số doanh nghiệp giải thể, ngừng hoạt động</t>
  </si>
  <si>
    <t>Số doanh nghiệp kinh doanh có lãi</t>
  </si>
  <si>
    <t>Số doanh nghiệp kinh doanh lỗ</t>
  </si>
  <si>
    <t>Tổng số lao động trong doanh nghiệp</t>
  </si>
  <si>
    <t>Người</t>
  </si>
  <si>
    <t>Thu nhập bình quân người lao động</t>
  </si>
  <si>
    <t>Tổng vốn đầu tư thực hiện</t>
  </si>
  <si>
    <t>Trong đó: Tổng vốn đầu tư thực hiện của doanh nghiệp có vốn nhà nước</t>
  </si>
  <si>
    <t>Tổng doanh thu</t>
  </si>
  <si>
    <t>Tổng tài sản</t>
  </si>
  <si>
    <t>Tổng vốn chủ sở hữu</t>
  </si>
  <si>
    <t>Tổng lỗ</t>
  </si>
  <si>
    <t>Tổng đóng góp ngân sách nhà nước</t>
  </si>
  <si>
    <t>Tổng ngân sách nhà nước hỗ trợ doanh nghiệp nhỏ và vừa</t>
  </si>
  <si>
    <t>PHÁT TRIỂN KINH TẾ TẬP THỂ</t>
  </si>
  <si>
    <t>Hợp tác xã</t>
  </si>
  <si>
    <t>Số hợp tác xã thành lập mới</t>
  </si>
  <si>
    <t>Số hợp tác xã giải thể</t>
  </si>
  <si>
    <t>Tổng số thành viên hợp tác xã</t>
  </si>
  <si>
    <t>Tổng số lao động trong hợp tác xã</t>
  </si>
  <si>
    <t>Trong đó: Số lao động là thành viên hợp tác xã</t>
  </si>
  <si>
    <t>Liên hiệp hợp tác xã</t>
  </si>
  <si>
    <t>Tổng số liên hiệp hợp tác xã</t>
  </si>
  <si>
    <t>Trong đó: Số liên hiệp hợp tác xã thành lập mới</t>
  </si>
  <si>
    <t xml:space="preserve">Tổ hợp tác </t>
  </si>
  <si>
    <t>Tổng số tổ hợp tác</t>
  </si>
  <si>
    <t>Tổ hợp tác</t>
  </si>
  <si>
    <t>Trong đó: Số tổ hợp tác đăng ký chứng thực</t>
  </si>
  <si>
    <t xml:space="preserve">Tổng số thành viên tổ hợp tác </t>
  </si>
  <si>
    <t>Thành viên</t>
  </si>
  <si>
    <t>Tỉnh, thành phố ……….</t>
  </si>
  <si>
    <t>Biểu số 6</t>
  </si>
  <si>
    <t>ĐẦU TƯ TRỰC TIẾP NƯỚC NGOÀI</t>
  </si>
  <si>
    <t>Mã chỉ tiêu</t>
  </si>
  <si>
    <t>Đơn vị tính</t>
  </si>
  <si>
    <t>Tình hình thực hiện</t>
  </si>
  <si>
    <t>A1</t>
  </si>
  <si>
    <t>Vốn đầu tư thực hiện</t>
  </si>
  <si>
    <t>A2</t>
  </si>
  <si>
    <t xml:space="preserve">   Trong đó, từ nước ngoài</t>
  </si>
  <si>
    <t>A3</t>
  </si>
  <si>
    <t>Doanh thu</t>
  </si>
  <si>
    <t>A4</t>
  </si>
  <si>
    <t>Số lao động</t>
  </si>
  <si>
    <t>A5</t>
  </si>
  <si>
    <t>Nộp ngân sách</t>
  </si>
  <si>
    <t>Tình hình cấp GCNĐT</t>
  </si>
  <si>
    <t>B1</t>
  </si>
  <si>
    <t>Cấp mới</t>
  </si>
  <si>
    <t>B11</t>
  </si>
  <si>
    <t>Số dự án</t>
  </si>
  <si>
    <t>Dự án</t>
  </si>
  <si>
    <t>B12</t>
  </si>
  <si>
    <t>Vốn đầu tư đăng ký mới</t>
  </si>
  <si>
    <t>B2</t>
  </si>
  <si>
    <t>Điều chỉnh vốn</t>
  </si>
  <si>
    <t>B21</t>
  </si>
  <si>
    <t>Số lượt dự án điều chỉnh tăng vốn</t>
  </si>
  <si>
    <t>lượt dự án</t>
  </si>
  <si>
    <t>B22</t>
  </si>
  <si>
    <t>Vốn đầu tư điều chỉnh tăng</t>
  </si>
  <si>
    <t>B23</t>
  </si>
  <si>
    <t>Số lượt dự án điều chỉnh giảm vốn</t>
  </si>
  <si>
    <t>B24</t>
  </si>
  <si>
    <t>Vốn đầu tư điều chỉnh giảm</t>
  </si>
  <si>
    <t>B3</t>
  </si>
  <si>
    <t>Vốn đăng ký cấp mới và tăng thêm</t>
  </si>
  <si>
    <t>Tình hình thu hồi GCNĐT</t>
  </si>
  <si>
    <t>C1</t>
  </si>
  <si>
    <t>C2</t>
  </si>
  <si>
    <t>Vốn đăng ký</t>
  </si>
  <si>
    <t>Tình hình tiếp nhận</t>
  </si>
  <si>
    <t>D1</t>
  </si>
  <si>
    <t>Số dự án tiếp nhận</t>
  </si>
  <si>
    <t>D2</t>
  </si>
  <si>
    <t>Vốn đăng ký của các dự án tiếp nhận</t>
  </si>
  <si>
    <t>Trong đó, đã cấp GCNĐT</t>
  </si>
  <si>
    <t>D3</t>
  </si>
  <si>
    <t>D4</t>
  </si>
  <si>
    <t>Chưa cấp</t>
  </si>
  <si>
    <t>D5</t>
  </si>
  <si>
    <t>D6</t>
  </si>
  <si>
    <t xml:space="preserve">Vốn đăng ký </t>
  </si>
  <si>
    <t>Chú thích</t>
  </si>
  <si>
    <t>(*) Không áp dụng</t>
  </si>
  <si>
    <t>B21 và B23 ghi số lượt điều chỉnh vốn (ví dụ 1 dự án điều chỉnh vốn 2 lần trong kỳ báo cáo thì tính là 2 lượt)</t>
  </si>
  <si>
    <t>D1=D3+D5; D2=D4+D6</t>
  </si>
  <si>
    <t>Biểu số 9</t>
  </si>
  <si>
    <t xml:space="preserve">TÌNH HÌNH THỰC HIỆN CÁC DỰ ÁN NHÓM A SỬ DỤNG VỐN ĐẦU TƯ PHÁT TRIỂN NGUỒN NSNN KẾ HOẠCH NĂM 2011 VÀ NHU CẦU NĂM 2012 </t>
  </si>
  <si>
    <t>Đơn vị: Tỷ đồng</t>
  </si>
  <si>
    <t>Danh mục công trình, dự án</t>
  </si>
  <si>
    <t>Địa điểm XD</t>
  </si>
  <si>
    <t>Năng lực thiết kế</t>
  </si>
  <si>
    <t>Thời gian KC-HT</t>
  </si>
  <si>
    <t>Quyết định đầu tư</t>
  </si>
  <si>
    <t>Lũy kế khối lượng thực hiện đến 31/12/2010</t>
  </si>
  <si>
    <t>Lũy kế giải ngân đến 31/01/2011</t>
  </si>
  <si>
    <t>Kế hoạch năm 2012</t>
  </si>
  <si>
    <t>Khối lượng thực hiện từ 01/01/2012 đến 30/6/2012</t>
  </si>
  <si>
    <t>Giải ngân từ 01/01/2012 đến 30/06/2012</t>
  </si>
  <si>
    <t>Ước khối lượng thực hiện kế hoạch năm 2012 đến 31/12/2012</t>
  </si>
  <si>
    <t>Ước giải ngân kế hoạch năm 2012 đến 31/01/2012</t>
  </si>
  <si>
    <t>Nhu cầu năm 2013</t>
  </si>
  <si>
    <t>Ghi chú</t>
  </si>
  <si>
    <t xml:space="preserve">Số quyết định </t>
  </si>
  <si>
    <t xml:space="preserve">TMĐT </t>
  </si>
  <si>
    <t>Tổng số</t>
  </si>
  <si>
    <t>Trong đó: vốn đầu tư phát triển nguồn NSNN</t>
  </si>
  <si>
    <t>Trong đó: Đầu tư từ NSNN</t>
  </si>
  <si>
    <t>Trong đó: vốn ĐTPT nguồn NSNN</t>
  </si>
  <si>
    <t>Trong nước</t>
  </si>
  <si>
    <t>Ngoài nước</t>
  </si>
  <si>
    <t>TỔNG SỐ</t>
  </si>
  <si>
    <t>Ngành/Chương trình ………</t>
  </si>
  <si>
    <t>Dự án ...</t>
  </si>
  <si>
    <t>………..</t>
  </si>
  <si>
    <t>………</t>
  </si>
  <si>
    <t>Các dự án chuyển tiếp</t>
  </si>
  <si>
    <t>Nhóm A</t>
  </si>
  <si>
    <t>Nhóm ….</t>
  </si>
  <si>
    <t>……………</t>
  </si>
  <si>
    <t>Giải thích thông tin ghi các cột:</t>
  </si>
  <si>
    <t>Cột (1) là số thứ tự</t>
  </si>
  <si>
    <t xml:space="preserve">Cột (2) là danh mục các dự án nhóm A sử dụng vốn đầu tư phát triển nguồn NSNN </t>
  </si>
  <si>
    <t>Cột (3) là địa điểm xây dựng</t>
  </si>
  <si>
    <t>Cột (4) là năng lực thiết kế của dự án</t>
  </si>
  <si>
    <t>Cột (5) là thời gian khởi công - hoàn thành theo quyết định đầu tư</t>
  </si>
  <si>
    <t>Cột (6) là số quyết định đầu tư, ghi rõ số, kí hiệu và ngày, tháng, năm ban hành (nếu có nhiều quyết định đầu tư đề nghị ghi đầy đủ tất cả các quyết định đầu tư)</t>
  </si>
  <si>
    <t>Cột (7) là tổng mức đầu tư của dự án sử dụng nhiều nguồn vốn theo quyết định đầu tư được phê duyệt</t>
  </si>
  <si>
    <t>Cột (8) là tổng số vốn đầu tư phát triển nguồn NSNN trong tổng mức đầu tư theo quyết định đầu tư được phê duyệt</t>
  </si>
  <si>
    <t>Cột (9) là số vốn đầu tư phát triển nguồn vốn NSNN (phần vốn trong nước) trong tổng mức đầu tư theo quyết định đầu tư được phê duyệt</t>
  </si>
  <si>
    <t>Cột (10) là số vốn đầu tư phát triển nguồn vốn NSNN (phần vốn ngoài nước) trong tổng mức đầu tư theo quyết định đầu tư được phê duyệt</t>
  </si>
  <si>
    <t xml:space="preserve">Cột (11) là tổng số các nguồn vốn bố trí cho dự án trong kế hoạch năm 2012 </t>
  </si>
  <si>
    <t xml:space="preserve">Cột (12) là tổng số vốn đầu tư phát triển nguồn NSNN bố trí cho dự án trong kế hoạch năm 2012 </t>
  </si>
  <si>
    <t xml:space="preserve">Cột (13) là số vốn đầu tư phát triển nguồn NSNN (phần vốn trong nước) bố trí cho dự án trong kế hoạch năm 2012 </t>
  </si>
  <si>
    <t>Cột (14) là số vốn đầu tư phát triển nguồn NSNN (phần vốn ngoài nước) bố trí cho dự án trong kế hoạch năm 2012</t>
  </si>
  <si>
    <t>Cột (15) là tổng số khối lượng thực hiện các nguồn vốn kế hoạch năm 2012 từ 01/01/2012 đến 30/6/2012</t>
  </si>
  <si>
    <t>Cột (16) là tổng số khối lượng thực hiện nguồn vốn NSNN kế hoạch năm 2012 từ 01/01/2012 đến 30/6/2012</t>
  </si>
  <si>
    <t>Cột (17) là khối lượng thực hiện phần vốn NSNN trong nước kế hoạch năm 2012 từ 01/01/2012 đến 30/6/2012</t>
  </si>
  <si>
    <t>Cột (18) là khối lượng thực hiện phần vốn NSNN nước ngoài kế hoạch năm 2012 từ 01/01/2012 đến 30/6/2012</t>
  </si>
  <si>
    <t>Cột (19) là tổng số giải ngân các nguồn vốn kế hoạch năm 2012 từ 01/01/2012 đến 30/6/2012</t>
  </si>
  <si>
    <t>Cột (20) là tổng số giải ngân nguồn vốn NSNN kế hoạch năm 2012 từ 01/01/2012 đến 30/6/2012</t>
  </si>
  <si>
    <t>Cột (21) là giải ngân phần vốn NSNN trong nước kế hoạch năm 2012 từ 01/01/2012 đến 30/6/2012</t>
  </si>
  <si>
    <t>Cột (22) là giải ngân phần vốn NSNN nước ngoài kế hoạch năm 2012 từ 01/01/2012 đến 30/6/2012</t>
  </si>
  <si>
    <t>Cột (23) là tổng số khối lượng thực hiện các nguồn vốn kế hoạch năm 2012 từ 01/01/2012 đến 31/12/2012</t>
  </si>
  <si>
    <t>Cột (24) là tổng số khối lượng thực hiện nguồn vốn NSNN kế hoạch năm 2012 từ 01/01/2012 đến 31/12/2012</t>
  </si>
  <si>
    <t>Cột (25) là khối lượng thực hiện phần vốn NSNN trong nước kế hoạch năm 2012 từ 01/01/2012 đến 31/12/2012</t>
  </si>
  <si>
    <t>Cột (26) là khối lượng thực hiện phần vốn NSNN nước ngoài kế hoạch năm 2012 từ 01/01/2012 đến 31/12/2012</t>
  </si>
  <si>
    <t>Cột (27) là tổng số giải ngân các nguồn vốn kế hoạch năm 2012 từ 01/01/2012 đến 31/01/2013</t>
  </si>
  <si>
    <t>Cột (28) là tổng số giải ngân nguồn vốn NSNN kế hoạch năm 2012 từ 01/01/2012 đến 31/01/2013</t>
  </si>
  <si>
    <t>Cột (29) là giải ngân phần vốn NSNN trong nước kế hoạch năm 2012 từ 01/01/2012 đến 31/01/2013</t>
  </si>
  <si>
    <t>Cột (30) là giải ngân phần vốn NSNN nước ngoài kế hoạch năm 2012 từ 01/01/2012 đến 31/01/2013</t>
  </si>
  <si>
    <t>Cột (31) là tổng nhu cầu các nguồn vốn năm 2013</t>
  </si>
  <si>
    <t>Cột (32) là nhu cầu vốn NSNN năm 2013</t>
  </si>
  <si>
    <t>Cột (33) là nhu cầu phần vốn NSNN trong nước năm 2013</t>
  </si>
  <si>
    <t>Cột (34) là nhu cầu phần vốn NSNN nước ngoài năm 2013</t>
  </si>
  <si>
    <t>Cột (35) là ghi chú các nội dung khác</t>
  </si>
  <si>
    <t>Biểu số 10</t>
  </si>
  <si>
    <t>TÌNH HÌNH THỰC HIỆN VÀ GIẢI NGÂN NGUỒN VỐN TRÁI PHIẾU CHÍNH PHỦ KẾ HOẠCH NĂM 2012 VÀ DỰ KIẾN KẾ HOẠCH NĂM 2013</t>
  </si>
  <si>
    <t>Tên công trình, dự án</t>
  </si>
  <si>
    <t>Quyết định đầu tư 
điều chỉnh</t>
  </si>
  <si>
    <t>Lũy kế vốn đã bố trí đến 31/12/2011</t>
  </si>
  <si>
    <t>Khối lượng thực hiện từ KC đến 31/12/2011</t>
  </si>
  <si>
    <t>Giải ngân từ KC đến 31/01/2012</t>
  </si>
  <si>
    <t>Kế hoạch
năm 2012</t>
  </si>
  <si>
    <t>Thực hiện từ 1/1/2012
đến 30/6/2012</t>
  </si>
  <si>
    <t>Ước thực hiện cả năm 2012</t>
  </si>
  <si>
    <t>Dự kiến kế hoạch 2013</t>
  </si>
  <si>
    <t>Khối lượng thực hiện từ 1/1/2012
đến 30/6/2012</t>
  </si>
  <si>
    <t>Giải ngân từ 1/1/2012
đến 30/6/2012</t>
  </si>
  <si>
    <t>Khối lượng thực hiện năm 2012</t>
  </si>
  <si>
    <t>Giải ngân năm 2012</t>
  </si>
  <si>
    <t>Trong đó: phần sử dụng TPCP</t>
  </si>
  <si>
    <t>Trong đó: TPCP</t>
  </si>
  <si>
    <t>Ngành………</t>
  </si>
  <si>
    <t>Ngành…………</t>
  </si>
  <si>
    <t>Cột (2) là tên các dự án, phân theo các ngành, lĩnh vực hoặc chương trình cụ thể</t>
  </si>
  <si>
    <t>Cột (4) là năng lực thiết kế</t>
  </si>
  <si>
    <t>Cột (6) là số quyết định đầu tư ban đầu, ghi rõ số, kí hiệu và ngày, tháng, năm ban hành</t>
  </si>
  <si>
    <t>Cột (7) là tổng mức đầu tư của dự án theo quyết định đầu tư ban đầu</t>
  </si>
  <si>
    <t>Cột (8) là phần sử dụng vốn trái phiếu chính phủ (TPCP) trong tổng mức đầu tư theo quyết định đầu tư ban đầu</t>
  </si>
  <si>
    <t>Cột (9) là số quyết định đầu tư điều chỉnh (nếu có), ghi rõ số, kí hiệu và ngày, tháng, năm ban hành (nếu điều chỉnh bằng nhiều quyết định đầu tư, ghi đầy đủ tất cả số quyết định đầu tư đã điều chỉnh)</t>
  </si>
  <si>
    <t>Cột (10) là tổng mức đầu tư điều chỉnh (nếu có) cuối cùng của dự án</t>
  </si>
  <si>
    <t>Cột (11) là phần sử dụng vốn trái phiếu chính phủ (TPCP) điều chỉnh cuối cùng (nếu có) trong tổng mức đầu tư (trong đó ghi chú rõ điều chỉnh tăng quy mô dự án là bao nhiêu so với tổng mức đầu tư ban đầu)</t>
  </si>
  <si>
    <t>Cột (12) là lũy kế các nguồn vốn bố trí cho dự án đến 31/12/2011 (bao gồm số vốn ứng trước các năm sau chưa hoàn trả trong kế hoạch, nếu dự án được ứng trước ghi thêm số ứng trước vào cột ghi chú)</t>
  </si>
  <si>
    <t>Cột (13) là lũy kế vốn TPCP bố trí cho dự án đến 31/12/2011 (bao gồm số vốn trái phiếu Chính phủ ứng trước các năm sau chưa hoàn trả trong kế hoạch, nếu dự án được ứng trước ghi cụ thể số vốn ứng trước vào cột ghi chú)</t>
  </si>
  <si>
    <t>Cột (14) là khối lượng thực hiện dự án từ khởi công đến 31/12/2011</t>
  </si>
  <si>
    <t>Cột (15) là khối lượng thực hiện phần sử dụng vốn TPCP từ khởi công đến 31/12/2011</t>
  </si>
  <si>
    <t>Cột (16) là giải ngân các nguồn vốn từ khởi công đến 31/01/2012 (bao gồm cả giải ngân số vốn ứng trước các năm sau chưa hoàn trả trong kế hoạch, ghi rõ số giải ngân phần ứng trước trong cột ghi chú)</t>
  </si>
  <si>
    <t>Cột (17) là giải ngân phần vốn TPCP từ khởi công đến 31/01/2012 (bao gồm cả giải ngân số vốn TPCP ứng trước các năm sau chưa hoàn trả trong kế hoạch, ghi rõ số giải ngân TPCP ứng trước trong cột ghi chú)</t>
  </si>
  <si>
    <t>Cột (18) là tổng số các nguồn vốn bố trí kế hoạch năm 2012</t>
  </si>
  <si>
    <t xml:space="preserve">Cột (19) là kế hoạch vốn trái phiếu Chính phủ năm 2012 </t>
  </si>
  <si>
    <t>Cột (20) là khối lượng thực hiện các nguồn vốn của từng dự án từ 1/1/2012 đến 30/6/2012</t>
  </si>
  <si>
    <t>Cột (21) là khối lượng thực hiện phần vốn TPCP kế hoạch năm 2012 từ 1/1/2012 đến 30/6/2012</t>
  </si>
  <si>
    <t>Cột (22) là giải ngân từng dự án từ các nguồn vốn từ 1/1/2012 đến 30/6/2012</t>
  </si>
  <si>
    <t>Cột (23) là giải ngân phần vốn TPCP kế hoạch năm 2012 từ 1/1/2012 đến 30/6/2012</t>
  </si>
  <si>
    <t>Cột (24) là lũy kế khối lượng thực hiện từng dự án từ các nguồn vốn từ 1/1/2012 đến hết năm 2012</t>
  </si>
  <si>
    <t>Cột (25) là khối lượng thực hiện phần vốn TPCP kế hoạch năm 2012 từ 1/1/2012 đến hết năm 2012</t>
  </si>
  <si>
    <t>Cột (26) là lũy kế giải ngân từng dự án từ các nguồn vốn từ 1/1/2012 đến hết năm 2012</t>
  </si>
  <si>
    <t>Cột (27) là lũy kế giải ngân phần vốn TPCP kế hoạch năm 2012 từ 1/1/2012 đến hết năm 2012</t>
  </si>
  <si>
    <t>Cột (28) là nhu cầu các nguồn vốn cho từng dự án năm 2013</t>
  </si>
  <si>
    <t>Cột (29) là nhu cầu vốn TPCP cho từng dự án năm 2013</t>
  </si>
  <si>
    <t>Cột (30) ghi chú</t>
  </si>
  <si>
    <t>Biểu số 11</t>
  </si>
  <si>
    <t>Tỉnh, Thành phố:……………</t>
  </si>
  <si>
    <t>DANH MỤC CÁC DỰ ÁN TẠM ỨNG VỐN NGUỒN HỖ TRỢ MỤC TIÊU VÀ SỐ THU HỒI TRONG KẾ HOẠCH NĂM 2012</t>
  </si>
  <si>
    <t>STT</t>
  </si>
  <si>
    <t>Danh mục</t>
  </si>
  <si>
    <t>Tổng số 
tạm ứng đến tháng 6/2012</t>
  </si>
  <si>
    <t>Số tạm ứng 
chưa hoàn trả (đến tháng 6/2012)</t>
  </si>
  <si>
    <t>Nội dung và văn bản ứng vốn liên quan</t>
  </si>
  <si>
    <t>Số đề nghị
 thu hồi trong kế hoạch năm 2013</t>
  </si>
  <si>
    <t>Số còn lại
 phải thu hồi các năm sau</t>
  </si>
  <si>
    <t>Nguồn thu hồi</t>
  </si>
  <si>
    <r>
      <rPr>
        <b/>
        <sz val="12"/>
        <rFont val="Times New Roman"/>
        <family val="1"/>
      </rPr>
      <t xml:space="preserve">Số Công văn
 </t>
    </r>
    <r>
      <rPr>
        <sz val="12"/>
        <rFont val="Times New Roman"/>
        <family val="1"/>
      </rPr>
      <t>(của Chính phủ, Bộ KH, Bộ TC)</t>
    </r>
  </si>
  <si>
    <r>
      <rPr>
        <b/>
        <sz val="12"/>
        <rFont val="Times New Roman"/>
        <family val="1"/>
      </rPr>
      <t xml:space="preserve">Nội dung 
</t>
    </r>
    <r>
      <rPr>
        <sz val="12"/>
        <rFont val="Times New Roman"/>
        <family val="1"/>
      </rPr>
      <t>(nội dung chỉ đạo của lãnh đạo Đảng, Nhà nước)</t>
    </r>
  </si>
  <si>
    <t>8=4-7</t>
  </si>
  <si>
    <t>Tỉnh …</t>
  </si>
  <si>
    <t>Dự án/ công trình …</t>
  </si>
  <si>
    <t>Biểu số 12</t>
  </si>
  <si>
    <t>NỢ XÂY DỰNG CƠ BẢN NGUỒN VỐN NSNN DO ĐỊA PHƯƠNG QUẢN LÝ</t>
  </si>
  <si>
    <t>Địa điểm 
xây dựng</t>
  </si>
  <si>
    <t>Năng lực
thiết kế</t>
  </si>
  <si>
    <t xml:space="preserve"> Tổng dự toán được duyệt</t>
  </si>
  <si>
    <t>Đã thực 
hiện đến 31/12/2011</t>
  </si>
  <si>
    <t>Đã thanh toán đến 31/12/2011</t>
  </si>
  <si>
    <t>Đã bố trí kế hoạch 2012 (để thanh toán nợ)</t>
  </si>
  <si>
    <t>Kế hoạch năm 2013</t>
  </si>
  <si>
    <t>Số nợ còn lại</t>
  </si>
  <si>
    <t>Nợ XDCB từ nguồn ngân sách theo kế hoạch nhà nước giao</t>
  </si>
  <si>
    <t>Ngành Giao thông</t>
  </si>
  <si>
    <t>Dự án hoàn thành</t>
  </si>
  <si>
    <t xml:space="preserve"> - Dự án …</t>
  </si>
  <si>
    <t>Dự án chuyển tiếp:</t>
  </si>
  <si>
    <t>- Dự án .......</t>
  </si>
  <si>
    <t>Ngành Nông nghiệp, thủy lợi</t>
  </si>
  <si>
    <t>Ngành ….</t>
  </si>
  <si>
    <t xml:space="preserve"> (Ghi tương tự như trên)</t>
  </si>
  <si>
    <t>Nợ XDCB từ nguồn vay kho bạc nhà nước và các khoản nợ XDCB từ nguồn ngân sách khác</t>
  </si>
  <si>
    <t>Tổng doanh thu của hợp tác xã</t>
  </si>
  <si>
    <t>Trong đó: doanh thu của HTX từ thành viên</t>
  </si>
  <si>
    <t>Thu nhập bình quân người lao động hợp tác xã</t>
  </si>
  <si>
    <t>Số xã, phường, thị trấn đạt tiêu chuẩn phù hợp với trẻ em</t>
  </si>
  <si>
    <t>Tỷ lệ xã, phường, thị trấn đạt tiêu chuẩn xã, phường phù hợp với trẻ em</t>
  </si>
  <si>
    <t>Số lượt góp vốn, mua cổ phần</t>
  </si>
  <si>
    <t>Giá trị góp vốn</t>
  </si>
  <si>
    <t>43=B12+B22-B24+B32</t>
  </si>
  <si>
    <t>B31</t>
  </si>
  <si>
    <t>B32</t>
  </si>
  <si>
    <t>B4</t>
  </si>
  <si>
    <t>Vốn cấp mới, tăng thêm và GVMCP</t>
  </si>
  <si>
    <t>Số hộ được sử dụng nước hợp vệ sinh</t>
  </si>
  <si>
    <t>Tỷ lệ hộ được sử dụng nước hợp vệ sinh</t>
  </si>
  <si>
    <t>- Sản lượng cà phê nhân</t>
  </si>
  <si>
    <t>Điện sản xuất</t>
  </si>
  <si>
    <t>Than đá</t>
  </si>
  <si>
    <t>Đá xây dựng khác</t>
  </si>
  <si>
    <t>Trang in offset</t>
  </si>
  <si>
    <t>Thức ăn gia súc, gia cầm</t>
  </si>
  <si>
    <t>Thu gom rác thải</t>
  </si>
  <si>
    <t>Triệu Kwh</t>
  </si>
  <si>
    <t>1000 tấn</t>
  </si>
  <si>
    <t>Triệu viên</t>
  </si>
  <si>
    <t>Triệu m3</t>
  </si>
  <si>
    <t>Triệu trang</t>
  </si>
  <si>
    <t>Tấn</t>
  </si>
  <si>
    <t xml:space="preserve"> + Máy móc thiết bị</t>
  </si>
  <si>
    <t xml:space="preserve"> + Nông lâm thổ sản các loại</t>
  </si>
  <si>
    <t>Tỉnh Điện Biên</t>
  </si>
  <si>
    <t>Thực hiện 6 tháng</t>
  </si>
  <si>
    <r>
      <t xml:space="preserve">Cơ cấu Tổng giá trị gia tăng theo ngành kinh tế </t>
    </r>
    <r>
      <rPr>
        <b/>
        <i/>
        <sz val="12"/>
        <rFont val="Times New Roman"/>
        <family val="1"/>
      </rPr>
      <t>(giá hiện hành)</t>
    </r>
  </si>
  <si>
    <t>Lượt hộ</t>
  </si>
  <si>
    <r>
      <t xml:space="preserve">GIẢM NGHÈO 
</t>
    </r>
    <r>
      <rPr>
        <sz val="12"/>
        <rFont val="Times New Roman"/>
        <family val="1"/>
      </rPr>
      <t>(theo chuẩn nghèo tiếp cận đa chiều)</t>
    </r>
  </si>
  <si>
    <t>Hỗ trợ đầu tư theo các chương trình mục tiêu, chương trình mục tiêu quốc gia từ Ngân sách Trung ương; ODA; TPCP</t>
  </si>
  <si>
    <t>Bội chi ngân sách</t>
  </si>
  <si>
    <t>Tỷ lệ tử vong của trẻ em dưới 5 tuổi</t>
  </si>
  <si>
    <t>Tốc độ tăng trưởng</t>
  </si>
  <si>
    <t>- Sản lượng chè búp</t>
  </si>
  <si>
    <t>- Sản lượng mủ cao su (quy khô)</t>
  </si>
  <si>
    <t xml:space="preserve"> Chăn nuôi - Sản phẩm chăn nuôi chủ yếu</t>
  </si>
  <si>
    <t>- Đàn trâu</t>
  </si>
  <si>
    <t>Con</t>
  </si>
  <si>
    <t>- Đàn bò</t>
  </si>
  <si>
    <t>- Đàn lợn</t>
  </si>
  <si>
    <t>- Đàn gia cầm</t>
  </si>
  <si>
    <t xml:space="preserve"> +</t>
  </si>
  <si>
    <t xml:space="preserve"> Vốn ngoài nhà nước và khu vực DNTN</t>
  </si>
  <si>
    <t>1000 m3</t>
  </si>
  <si>
    <t xml:space="preserve">Gạch xây </t>
  </si>
  <si>
    <t xml:space="preserve"> Nước máy sản xuất</t>
  </si>
  <si>
    <t xml:space="preserve"> Xi măng </t>
  </si>
  <si>
    <t>Tr. Đồng</t>
  </si>
  <si>
    <t xml:space="preserve"> - Mặt hàng xuất khẩu chủ yếu</t>
  </si>
  <si>
    <t xml:space="preserve"> + Xi măng các loại</t>
  </si>
  <si>
    <t>Tr.USD</t>
  </si>
  <si>
    <t>Trong đó: Xi măng Điện Biên</t>
  </si>
  <si>
    <t>Ng. Tấn</t>
  </si>
  <si>
    <t xml:space="preserve"> + Thép xây dựng các loại</t>
  </si>
  <si>
    <t xml:space="preserve"> + Hàng hóa khác </t>
  </si>
  <si>
    <t xml:space="preserve"> - Mặt hàng nhập khẩu chủ yếu</t>
  </si>
  <si>
    <t xml:space="preserve">Tr.USD </t>
  </si>
  <si>
    <t xml:space="preserve"> + Hàng khác </t>
  </si>
  <si>
    <t>VẬN TẢI</t>
  </si>
  <si>
    <t>Vận tải hành khách</t>
  </si>
  <si>
    <t xml:space="preserve"> - Hành khách vận chuyển </t>
  </si>
  <si>
    <t>1000 người</t>
  </si>
  <si>
    <t xml:space="preserve"> - Hành khách luân chuyển </t>
  </si>
  <si>
    <t>1000 ng.Km</t>
  </si>
  <si>
    <t xml:space="preserve"> Vận tải hàng hoá</t>
  </si>
  <si>
    <t xml:space="preserve"> - Hàng hoá vận chuyển</t>
  </si>
  <si>
    <t xml:space="preserve"> 1000 tấn</t>
  </si>
  <si>
    <t xml:space="preserve"> - Hành hoá luân chuyển </t>
  </si>
  <si>
    <t>1000 tấn.Km</t>
  </si>
  <si>
    <t>Vốn ngân sách nhà nước</t>
  </si>
  <si>
    <t>Liên hiệp
 hợp tác xã</t>
  </si>
  <si>
    <t>Viện trợ</t>
  </si>
  <si>
    <t>ĐVT</t>
  </si>
  <si>
    <t>So sánh</t>
  </si>
  <si>
    <t>Trong đó</t>
  </si>
  <si>
    <t>Điện Biên</t>
  </si>
  <si>
    <t>T.Giáo</t>
  </si>
  <si>
    <t>ĐBĐ</t>
  </si>
  <si>
    <t>M.Chà</t>
  </si>
  <si>
    <t>TXML</t>
  </si>
  <si>
    <t>Tổng SLLT có hạt</t>
  </si>
  <si>
    <t>Diện tích</t>
  </si>
  <si>
    <t>Ha</t>
  </si>
  <si>
    <t>a</t>
  </si>
  <si>
    <t>b</t>
  </si>
  <si>
    <t>c</t>
  </si>
  <si>
    <t xml:space="preserve"> Chăn nuôi</t>
  </si>
  <si>
    <t>con</t>
  </si>
  <si>
    <t xml:space="preserve"> Thuỷ sản</t>
  </si>
  <si>
    <t xml:space="preserve"> Diện tích nuôi trồng</t>
  </si>
  <si>
    <t>Bản</t>
  </si>
  <si>
    <t>Biểu số 2.2</t>
  </si>
  <si>
    <t>So sánh (%)</t>
  </si>
  <si>
    <t xml:space="preserve">Kế hoạch </t>
  </si>
  <si>
    <t>Đ.Biên</t>
  </si>
  <si>
    <t>M.Ảng</t>
  </si>
  <si>
    <t>M.Nhé</t>
  </si>
  <si>
    <t>T.Chùa</t>
  </si>
  <si>
    <t>TPĐBP</t>
  </si>
  <si>
    <t>N.Pồ</t>
  </si>
  <si>
    <t>Giá trị sản xuất công nghiệp (giá SS 2010)</t>
  </si>
  <si>
    <t>Công nghiệp khai thác</t>
  </si>
  <si>
    <t>Công nghiệp chế biến</t>
  </si>
  <si>
    <t>Sản xuất, phân phối điện, khí đốt</t>
  </si>
  <si>
    <t>Sản lượng một số sản phẩm công nghiệp chủ yếu:</t>
  </si>
  <si>
    <t>Tỷ Kwh</t>
  </si>
  <si>
    <t>Than sạch</t>
  </si>
  <si>
    <t>THƯƠNG MẠI</t>
  </si>
  <si>
    <t>- Tổng mức bán lẻ hàng hoá và dịch vụ (giá hiện hành)</t>
  </si>
  <si>
    <t>- Doanh thu ngành dịch vụ (giá hiện hành)</t>
  </si>
  <si>
    <t>+ Tài chính - ngân hàng</t>
  </si>
  <si>
    <t>+ Vận tải</t>
  </si>
  <si>
    <t>+ Khách sạn - Nhà hàng - dịch vụ du lịch</t>
  </si>
  <si>
    <t>XUẤT KHẨU</t>
  </si>
  <si>
    <t xml:space="preserve">Tổng kim ngạch xuất khẩu </t>
  </si>
  <si>
    <t xml:space="preserve">Trong đó địa phương thực hiện </t>
  </si>
  <si>
    <t xml:space="preserve"> Mặt hàng xuất khẩu chủ yếu:</t>
  </si>
  <si>
    <t>Xi măng các loại</t>
  </si>
  <si>
    <t>Trong đó Xi măng Điện Biên</t>
  </si>
  <si>
    <t>Thép XD các loại</t>
  </si>
  <si>
    <t>Hàng hóa khác</t>
  </si>
  <si>
    <t>NHẬP KHẨU</t>
  </si>
  <si>
    <t xml:space="preserve">Tổng kim ngạch nhập khẩu </t>
  </si>
  <si>
    <t>Mặt hàng nhập khẩu chủ yếu:</t>
  </si>
  <si>
    <t>Máy móc thiết bị</t>
  </si>
  <si>
    <t>Nông, lâm, thổ sản các loại</t>
  </si>
  <si>
    <t>Hàng khác</t>
  </si>
  <si>
    <t>E</t>
  </si>
  <si>
    <t xml:space="preserve"> </t>
  </si>
  <si>
    <t>Biểu 3.1</t>
  </si>
  <si>
    <t>(Kèm theo công văn số      /SKHĐT-VX ngày     /11/2013 của Sở Kế hoạch và Đầu tư tỉnh Điện Biên)</t>
  </si>
  <si>
    <t xml:space="preserve"> Số TT </t>
  </si>
  <si>
    <t xml:space="preserve"> CHỈ TIÊU</t>
  </si>
  <si>
    <t xml:space="preserve"> Đơn vị tính </t>
  </si>
  <si>
    <t xml:space="preserve"> Phân theo các huyện, thị</t>
  </si>
  <si>
    <t xml:space="preserve">TP Điện Biên Phủ </t>
  </si>
  <si>
    <t xml:space="preserve">Thị xã Mường Lay </t>
  </si>
  <si>
    <t xml:space="preserve">Tuần Giáo </t>
  </si>
  <si>
    <t>Mường Ảng</t>
  </si>
  <si>
    <t>Tủa Chùa</t>
  </si>
  <si>
    <t>Mường Chà</t>
  </si>
  <si>
    <t>Mường Nhé</t>
  </si>
  <si>
    <t xml:space="preserve"> Điện Biên Đông</t>
  </si>
  <si>
    <t>Nậm Pồ</t>
  </si>
  <si>
    <t>DÂN SỐ TRUNG BÌNH</t>
  </si>
  <si>
    <t xml:space="preserve"> Người</t>
  </si>
  <si>
    <t>Trong đó: Nữ</t>
  </si>
  <si>
    <t xml:space="preserve">          - Dân số thành thị</t>
  </si>
  <si>
    <t xml:space="preserve">          - Dân số nông thôn</t>
  </si>
  <si>
    <t xml:space="preserve"> L.Động</t>
  </si>
  <si>
    <t xml:space="preserve">  Tỷ lệ so với dân số</t>
  </si>
  <si>
    <t xml:space="preserve">  - Tr. đó: số người trong độ tuổi LĐ là nữ</t>
  </si>
  <si>
    <t xml:space="preserve"> - Lao động khu vực thành thị</t>
  </si>
  <si>
    <t xml:space="preserve"> - Lao động khu vực nông thôn</t>
  </si>
  <si>
    <t xml:space="preserve">  Tỷ lệ so với lao động trong độ tuổi</t>
  </si>
  <si>
    <t xml:space="preserve">  - Tr.đó: Lực lượng LĐ là Nữ</t>
  </si>
  <si>
    <t xml:space="preserve">  Tỷ lệ so với lực lượng LĐ</t>
  </si>
  <si>
    <t xml:space="preserve">       Tr.đó: Nữ </t>
  </si>
  <si>
    <t xml:space="preserve"> Phân theo các ngành chính</t>
  </si>
  <si>
    <t xml:space="preserve"> Tỷ lệ so với LĐ đang làm việc trong các ngành KTQD</t>
  </si>
  <si>
    <t xml:space="preserve">  Tr.đó: - Tỷ lệ LĐ được đào tạo so với lực lượng lao động</t>
  </si>
  <si>
    <t xml:space="preserve">  Tr.đó: Tỷ lệ lao động qua đào tạo nghề</t>
  </si>
  <si>
    <t xml:space="preserve">  Số LĐ được tạo việc làm mới trong năm</t>
  </si>
  <si>
    <t xml:space="preserve">  Tr.đó: - Số LĐ được tạo việc làm từ Quỹ QG hỗ trợ việc làm</t>
  </si>
  <si>
    <t xml:space="preserve">  - Tạo việc làm từ Xuất khẩu lao động</t>
  </si>
  <si>
    <t>Chăm sóc và bảo vệ trẻ em</t>
  </si>
  <si>
    <t>Tổng số trẻ em có hoàn cảnh đặc biệt</t>
  </si>
  <si>
    <t>Tổng số TE có HCĐBKK được hưởng trợ cấp tại cộng đồng</t>
  </si>
  <si>
    <t>Xã, P</t>
  </si>
  <si>
    <t>Số trẻ em mồ côi được nuôi dưỡng tại TT BTXH tỉnh</t>
  </si>
  <si>
    <t>Số trẻ em mồ côi được nuôi dưỡng tại Làng trẻ em SOS ĐBP</t>
  </si>
  <si>
    <t>Các vấn đề xã hội</t>
  </si>
  <si>
    <t>III.1</t>
  </si>
  <si>
    <t>Trật tự an toàn xã hội</t>
  </si>
  <si>
    <t>Số người lạm dụng ma tuý (có hồ sơ quản lý)</t>
  </si>
  <si>
    <t>Đối tượng</t>
  </si>
  <si>
    <t xml:space="preserve">   Trong đó: Nữ </t>
  </si>
  <si>
    <t xml:space="preserve"> Số người được cai nghiện</t>
  </si>
  <si>
    <t xml:space="preserve"> Trong đó:</t>
  </si>
  <si>
    <t xml:space="preserve">  - Các huyện thị</t>
  </si>
  <si>
    <t xml:space="preserve">  - Các cơ sở khác</t>
  </si>
  <si>
    <t xml:space="preserve">  + TTâm Chữa bệnh - Giáo dục - LĐXH tỉnh</t>
  </si>
  <si>
    <t xml:space="preserve">  + Bộ chỉ huy bộ đội Biên phòng tỉnh</t>
  </si>
  <si>
    <t xml:space="preserve">  + Trại tạm giam Công an tỉnh</t>
  </si>
  <si>
    <t>Số người được điều trị  Methadone</t>
  </si>
  <si>
    <t>Số cơ sở nuôi dưỡng tập trung</t>
  </si>
  <si>
    <t xml:space="preserve"> Cơ sở</t>
  </si>
  <si>
    <t xml:space="preserve"> Tr.đó: - TT Bảo trợ xã hội tỉnh</t>
  </si>
  <si>
    <t>III.2</t>
  </si>
  <si>
    <t>Tổng số hộ cuối năm</t>
  </si>
  <si>
    <t xml:space="preserve"> Hộ</t>
  </si>
  <si>
    <t xml:space="preserve"> - Tỷ lệ hộ nghèo</t>
  </si>
  <si>
    <t>III.3</t>
  </si>
  <si>
    <t xml:space="preserve"> Biểu 3.2</t>
  </si>
  <si>
    <t xml:space="preserve"> Đơn vị tính: Người</t>
  </si>
  <si>
    <t>Số 
TT</t>
  </si>
  <si>
    <t>CHỈ TIÊU</t>
  </si>
  <si>
    <t xml:space="preserve">Trường Cao đẳng Sư phạm </t>
  </si>
  <si>
    <t>Chỉ tiêu trong ngân sách</t>
  </si>
  <si>
    <t>Đào tạo chính quy</t>
  </si>
  <si>
    <t xml:space="preserve">     Trong đó: Sư phạm</t>
  </si>
  <si>
    <t xml:space="preserve">    Trong đó: Sư phạm</t>
  </si>
  <si>
    <t xml:space="preserve"> Bồi dưỡng cán bộ, giáo viên và nhân viên nghiệp vụ giáo dục</t>
  </si>
  <si>
    <t xml:space="preserve"> - Thạc sỹ</t>
  </si>
  <si>
    <t xml:space="preserve"> - Đại học</t>
  </si>
  <si>
    <t>Trường Cao đẳng KT-KT Điện Biên</t>
  </si>
  <si>
    <t>Cao đẳng</t>
  </si>
  <si>
    <t xml:space="preserve"> - Tài chính - Ngân hàng</t>
  </si>
  <si>
    <t xml:space="preserve"> - Kế toán</t>
  </si>
  <si>
    <t xml:space="preserve"> - Khoa học cây trồng </t>
  </si>
  <si>
    <t xml:space="preserve"> - Chăn nuôi</t>
  </si>
  <si>
    <t xml:space="preserve"> - Lâm nghiệp</t>
  </si>
  <si>
    <t xml:space="preserve"> - Quản lý Đất đai</t>
  </si>
  <si>
    <t xml:space="preserve"> - Dịch vụ Pháp lý</t>
  </si>
  <si>
    <t xml:space="preserve">Trung cấp </t>
  </si>
  <si>
    <t xml:space="preserve"> - Hành chính - Văn phòng</t>
  </si>
  <si>
    <t xml:space="preserve"> - Pháp luật</t>
  </si>
  <si>
    <t xml:space="preserve"> - Trồng trọt</t>
  </si>
  <si>
    <t xml:space="preserve"> - Chăn nuôi - Thú y</t>
  </si>
  <si>
    <t xml:space="preserve"> - Quản lý Văn hoá</t>
  </si>
  <si>
    <t xml:space="preserve"> - Tin học ứng dụng</t>
  </si>
  <si>
    <t xml:space="preserve"> - Kế toán Doanh nghiệp</t>
  </si>
  <si>
    <t>Chỉ tiêu ngoài ngân sách:</t>
  </si>
  <si>
    <t xml:space="preserve"> - Hành chính văn phòng</t>
  </si>
  <si>
    <t>Bồi dưỡng ngắn hạn</t>
  </si>
  <si>
    <t>Trường Cao đẳng Y tế</t>
  </si>
  <si>
    <t xml:space="preserve">      Trong đó: Lào</t>
  </si>
  <si>
    <t>*</t>
  </si>
  <si>
    <t>Chia các loại hình đào tạo</t>
  </si>
  <si>
    <t xml:space="preserve"> - Điều dưỡng cao đẳng </t>
  </si>
  <si>
    <t xml:space="preserve"> - Y sĩ </t>
  </si>
  <si>
    <t xml:space="preserve"> - Điều dưỡng liên thông</t>
  </si>
  <si>
    <t xml:space="preserve"> - Dược sỹ liên thông</t>
  </si>
  <si>
    <t xml:space="preserve"> - Dược sỹ liên thông (Văn bằng 2)</t>
  </si>
  <si>
    <t xml:space="preserve"> - Hộ sinh liên thông</t>
  </si>
  <si>
    <t xml:space="preserve"> Dự kiến đào tạo định hướng các chuyên khoa, đạo tạo lại, đào tạo ngắn hạn</t>
  </si>
  <si>
    <t xml:space="preserve"> Đào tạo nghề</t>
  </si>
  <si>
    <t xml:space="preserve"> - Cao đẳng </t>
  </si>
  <si>
    <t xml:space="preserve"> - Trung cấp </t>
  </si>
  <si>
    <t xml:space="preserve"> - Sơ cấp nghề và dạy nghề dưới 3 tháng</t>
  </si>
  <si>
    <t xml:space="preserve">   Tr.đó: Dạy nghề cho LĐ nông thôn </t>
  </si>
  <si>
    <t xml:space="preserve"> Phân bổ chi tiết</t>
  </si>
  <si>
    <t xml:space="preserve">Trường Cao đẳng nghề </t>
  </si>
  <si>
    <t xml:space="preserve">  Tr.đó: Dạy nghề cho LĐ nông thôn </t>
  </si>
  <si>
    <t>Thành phố Điện Biên Phủ</t>
  </si>
  <si>
    <t xml:space="preserve"> - Sơ cấp và đào tạo thường xuyên dưới 3 tháng</t>
  </si>
  <si>
    <t xml:space="preserve"> Tr.đó: Dạy nghề cho LĐ nông thôn </t>
  </si>
  <si>
    <t>Thị xã Mường Lay</t>
  </si>
  <si>
    <t>Huyện Điện Biên</t>
  </si>
  <si>
    <t>Huyện Tuần Giáo</t>
  </si>
  <si>
    <t>Huyện Mường Ảng</t>
  </si>
  <si>
    <t>Huyện Tủa Chùa</t>
  </si>
  <si>
    <t>Huyện Mường Chà</t>
  </si>
  <si>
    <t>Huyện Mường Nhé</t>
  </si>
  <si>
    <t>Huyện Điện Biên Đông</t>
  </si>
  <si>
    <t>Huyện Nậm Pồ</t>
  </si>
  <si>
    <t>Cơ sở dạy nghề khác</t>
  </si>
  <si>
    <t xml:space="preserve"> - Trung cấp</t>
  </si>
  <si>
    <t>Biểu 3.3</t>
  </si>
  <si>
    <t>Số TT</t>
  </si>
  <si>
    <t>Chia theo huyện, thị xã, thành phố</t>
  </si>
  <si>
    <t>Điện Biên Đông</t>
  </si>
  <si>
    <t xml:space="preserve">I </t>
  </si>
  <si>
    <t>Số học sinh có mặt đầu năm học</t>
  </si>
  <si>
    <t>GIÁO DỤC MẦM NON</t>
  </si>
  <si>
    <t>1.1</t>
  </si>
  <si>
    <t>Tổng số trẻ mầm non</t>
  </si>
  <si>
    <t>Cháu</t>
  </si>
  <si>
    <t>- Số cháu vào nhà trẻ</t>
  </si>
  <si>
    <t xml:space="preserve">- Số học sinh mẫu giáo </t>
  </si>
  <si>
    <t>Trẻ</t>
  </si>
  <si>
    <t>- Số trẻ 5 tuổi</t>
  </si>
  <si>
    <t>1.2</t>
  </si>
  <si>
    <t>Tổng số lớp và nhóm trẻ</t>
  </si>
  <si>
    <t>lớp</t>
  </si>
  <si>
    <t>- Số nhóm trẻ</t>
  </si>
  <si>
    <t>Nhóm</t>
  </si>
  <si>
    <t>- Số lớp mẫu giáo</t>
  </si>
  <si>
    <t>Lớp</t>
  </si>
  <si>
    <t>- Số lớp 5 tuổi</t>
  </si>
  <si>
    <t>1.3</t>
  </si>
  <si>
    <t>Các tỷ lệ huy động</t>
  </si>
  <si>
    <t>- Tỷ lệ huy động trẻ ra lớp/dân số độ tuổi</t>
  </si>
  <si>
    <t>- Tỷ lệ trẻ mầm non là nữ</t>
  </si>
  <si>
    <t>- Tỷ lệ trẻ suy dinh dưỡng thể nhẹ cân</t>
  </si>
  <si>
    <t>- Tỷ lệ trẻ suy dinh dưỡng thể thấp còi</t>
  </si>
  <si>
    <t>- Tỷ lệ huy động trẻ từ 3 tháng đến dưới 36 tháng tuổi ra lớp</t>
  </si>
  <si>
    <t>- Tỷ lệ huy động trẻ từ 3-5 tuổi ra lớp</t>
  </si>
  <si>
    <t>- Tỷ lệ huy động trẻ 5 tuổi ra lớp</t>
  </si>
  <si>
    <t>GIÁO DỤC PHỔ THÔNG</t>
  </si>
  <si>
    <t>2.1</t>
  </si>
  <si>
    <t>Tổng số học sinh</t>
  </si>
  <si>
    <t>HS</t>
  </si>
  <si>
    <t>Trong đó: Học sinh bán trú</t>
  </si>
  <si>
    <t>2.2</t>
  </si>
  <si>
    <t>Tổng số lớp</t>
  </si>
  <si>
    <t>2.3</t>
  </si>
  <si>
    <t>- Tỷ lệ học sinh nữ/tổng số HS</t>
  </si>
  <si>
    <t>- Tỷ lệ học sinh đúng độ tuổi</t>
  </si>
  <si>
    <t>- Tỷ lệ học sinh bỏ học</t>
  </si>
  <si>
    <t>- Tỷ lệ học sinh lưu ban</t>
  </si>
  <si>
    <t>2.3.1</t>
  </si>
  <si>
    <t>Tiểu học</t>
  </si>
  <si>
    <t>- Học sinh bán trú</t>
  </si>
  <si>
    <t>- Tỷ lệ học sinh 6 tuổi vào lớp 1</t>
  </si>
  <si>
    <t>- Tỷ lệ học sinh 6-10 tuổi học</t>
  </si>
  <si>
    <t>- Tỷ lệ học sinh nữ/tổng số học sinh</t>
  </si>
  <si>
    <t xml:space="preserve">- Tỷ lệ học sinh lưu ban </t>
  </si>
  <si>
    <t>2.3.2</t>
  </si>
  <si>
    <t xml:space="preserve">Trung học cơ sở </t>
  </si>
  <si>
    <t xml:space="preserve">- Tỷ lệ học sinh 11 tuổi vào lớp 6 </t>
  </si>
  <si>
    <t>- Tỷ lệ học sinh 11-14 tuổi học THCS</t>
  </si>
  <si>
    <t>2.3.3</t>
  </si>
  <si>
    <t>Trung học phổ thông</t>
  </si>
  <si>
    <t>- Tổng số học sinh</t>
  </si>
  <si>
    <t>Tr. đó: + Học sinh các trường DTNT</t>
  </si>
  <si>
    <t xml:space="preserve">             + Học sinh bán trú</t>
  </si>
  <si>
    <t>- Tổng số lớp</t>
  </si>
  <si>
    <t>- Tỷ lệ học sinh 15 tuổi vào lớp 10</t>
  </si>
  <si>
    <t>- Tỷ lệ h/sinh 15-18 tuổi học THPT và tương đương</t>
  </si>
  <si>
    <t>Hệ bổ túc văn hóa</t>
  </si>
  <si>
    <t>H/Sinh</t>
  </si>
  <si>
    <t>- Học sinh PCGDTH-XMC</t>
  </si>
  <si>
    <t>- Học sinh PCGD THCS</t>
  </si>
  <si>
    <t>- Học sinh bổ túc THPT</t>
  </si>
  <si>
    <t>Hướng nghiệp dạy nghề cho HSPT</t>
  </si>
  <si>
    <t>- Học sinh THCS</t>
  </si>
  <si>
    <t xml:space="preserve">- Học sinh THPT </t>
  </si>
  <si>
    <t>Phổ cập giáo dục - Xóa mù chữ</t>
  </si>
  <si>
    <t xml:space="preserve">Tổng số xã </t>
  </si>
  <si>
    <t>Số xã đạt chuẩn PC GDMN cho trẻ 5 tuổi</t>
  </si>
  <si>
    <t>Số xã đạt chuẩn PC GDTH mức độ 1</t>
  </si>
  <si>
    <t>Số xã đạt chuẩn PC GDTH mức độ 2</t>
  </si>
  <si>
    <t>Số xã đạt chuẩn PC GDTH mức độ 3</t>
  </si>
  <si>
    <t>Số xã đạt chuẩn PCGD THCS mức độ 1</t>
  </si>
  <si>
    <t>Số xã đạt chuẩn PCGD THCS mức độ 2</t>
  </si>
  <si>
    <t>Số xã đạt chuẩn PCGD THCS mức độ 3</t>
  </si>
  <si>
    <t>Số xã đạt chuẩn Xóa mù chữ mức độ 1</t>
  </si>
  <si>
    <t>Số xã đạt chuẩn Xóa mù chữ mức độ 2</t>
  </si>
  <si>
    <t>Trường</t>
  </si>
  <si>
    <t>Trường Mầm non</t>
  </si>
  <si>
    <t>"</t>
  </si>
  <si>
    <t>Tr. đó:  - Trường đạt chuẩn Quốc gia</t>
  </si>
  <si>
    <t xml:space="preserve">             - Trường mầm non tư thục</t>
  </si>
  <si>
    <t>Các trường phổ thông</t>
  </si>
  <si>
    <t>Tr.đó: - Các trường PT DTNT tỉnh, huyện</t>
  </si>
  <si>
    <t xml:space="preserve">  - Tổng số trường đạt chuẩn Quốc gia</t>
  </si>
  <si>
    <t xml:space="preserve">  - Tổng số trường PTDTBT</t>
  </si>
  <si>
    <t>Trường Tiểu học</t>
  </si>
  <si>
    <t xml:space="preserve">              - Số trường PTDTBT</t>
  </si>
  <si>
    <t>Trường THCS</t>
  </si>
  <si>
    <t>Trường THPT</t>
  </si>
  <si>
    <t>Trong đó, trường đạt chuẩn Quốc gia</t>
  </si>
  <si>
    <t>T.Tâm</t>
  </si>
  <si>
    <t>Trạm</t>
  </si>
  <si>
    <t xml:space="preserve"> Biểu 3.5</t>
  </si>
  <si>
    <t xml:space="preserve"> Số TT</t>
  </si>
  <si>
    <t>Đơn vị 
tính</t>
  </si>
  <si>
    <t>Chia theo đơn vị hành chính</t>
  </si>
  <si>
    <t>TP. Đ.Biên Phủ</t>
  </si>
  <si>
    <t>Tuần Giáo</t>
  </si>
  <si>
    <t>Lĩnh vực Văn hóa - Gia đình</t>
  </si>
  <si>
    <t>Phong trào toàn dân đoàn kết XD đời sống văn hóa</t>
  </si>
  <si>
    <t>1</t>
  </si>
  <si>
    <t xml:space="preserve"> Số hộ đăng ký đạt tiêu chuẩn GĐ Văn hóa</t>
  </si>
  <si>
    <t>Hộ GĐ</t>
  </si>
  <si>
    <t>2</t>
  </si>
  <si>
    <t xml:space="preserve"> Số gia đình đạt tiêu chuẩn VH </t>
  </si>
  <si>
    <t xml:space="preserve"> Tỷ lệ GĐ đạt chuẩn VH chiếm trong tổng số gia đình toàn tỉnh</t>
  </si>
  <si>
    <t>3</t>
  </si>
  <si>
    <t xml:space="preserve"> Số thôn, bản đăng ký đạt tiêu chuẩn VH</t>
  </si>
  <si>
    <t>4</t>
  </si>
  <si>
    <t xml:space="preserve"> Số thôn, bản đạt tiêu chuẩn VH; </t>
  </si>
  <si>
    <t xml:space="preserve"> Tỷ lệ  thôn, bản đạt VH chiếm trong tổng số thôn, bản toàn tỉnh/ huyện</t>
  </si>
  <si>
    <t>Số thôn, bản toàn tỉnh</t>
  </si>
  <si>
    <t>5</t>
  </si>
  <si>
    <t xml:space="preserve"> Số cơ quan, đơn vị trường học đăng ký đạt tiêu chuẩn VH</t>
  </si>
  <si>
    <t>Cơ quan</t>
  </si>
  <si>
    <t>6</t>
  </si>
  <si>
    <t xml:space="preserve"> Số cơ quan, đơn vị, DN đạt tiêu chuẩn VH;</t>
  </si>
  <si>
    <t>nt</t>
  </si>
  <si>
    <t xml:space="preserve"> Tỷ lệ cơ quan, đơn vị DN, trường học đạt VH chiếm trong tổng số cơ quan, đơn vị, trường học toàn tỉnh</t>
  </si>
  <si>
    <t>7</t>
  </si>
  <si>
    <t xml:space="preserve"> Số xã đăng ký đạt chuẩn văn hóa nông thôn mới</t>
  </si>
  <si>
    <t>8</t>
  </si>
  <si>
    <t xml:space="preserve"> Số xã đạt chuẩn VH nông thôn mới</t>
  </si>
  <si>
    <t xml:space="preserve"> Tỷ lệ xã đạt chuẩn văn hóa nông thôn mới</t>
  </si>
  <si>
    <t>9</t>
  </si>
  <si>
    <t xml:space="preserve"> Số phường, thị trấn đăng ký đạt chuẩn văn minh đô thị</t>
  </si>
  <si>
    <t>Phường, thị trấn</t>
  </si>
  <si>
    <t>10</t>
  </si>
  <si>
    <t xml:space="preserve"> Số phường, thị trấn đạt chuẩn văn minh đô thị</t>
  </si>
  <si>
    <t xml:space="preserve"> Tỷ lệ phường, thị trấn đạt chuẩn văn minh đô thị</t>
  </si>
  <si>
    <t>Lĩnh vực gia đình</t>
  </si>
  <si>
    <t>Số BCĐ mô hình PCBLGĐ được thành lập tại các xã,phường, thị trấn (nhân rộng mô hình PCBLGĐ)</t>
  </si>
  <si>
    <t>BCĐ</t>
  </si>
  <si>
    <t xml:space="preserve"> Tỷ lệ xã, phường có ban chỉ đạo mô hình phòng chống bạo lực gia đình </t>
  </si>
  <si>
    <t xml:space="preserve">Số  CLB gia đình phát triển bền vững tại các thôn, bản,tổ dân phố </t>
  </si>
  <si>
    <t>CLB</t>
  </si>
  <si>
    <t xml:space="preserve"> Tỷ lệ thôn, bản, tổ dân phố có câu lạc bộ gia đình phát triển bền vững </t>
  </si>
  <si>
    <t xml:space="preserve"> Tỷ lệ gia đình được tuyên truyền phổ biến các luật có liên quan đến lĩnh vực gia đình</t>
  </si>
  <si>
    <t>Phát triển thiết chế văn hóa, thể thao cơ sở</t>
  </si>
  <si>
    <t xml:space="preserve"> Số trung tâm Văn hóa - Thể thao cấp huyện</t>
  </si>
  <si>
    <t>Huyện, thị, TP</t>
  </si>
  <si>
    <t xml:space="preserve"> Số huyện/ thị/ thành phố có Nhà văn hóa, thể thao </t>
  </si>
  <si>
    <t xml:space="preserve"> Số huyện/ thị/ thành phố có thư viện</t>
  </si>
  <si>
    <t xml:space="preserve"> - Trong đó  huyện/ thị/ thành phố có Nhà thư viện</t>
  </si>
  <si>
    <t xml:space="preserve"> Tổng số xã, phường, thị trấn</t>
  </si>
  <si>
    <t>Xã, phường, TT</t>
  </si>
  <si>
    <t xml:space="preserve"> Số xã, phường, thị trấn có Nhà văn hóa, thể thao</t>
  </si>
  <si>
    <t xml:space="preserve"> Tỷ lệ xã, phường có nhà VH-TT</t>
  </si>
  <si>
    <t xml:space="preserve"> Số sân thể thao phổ thông cấp xã</t>
  </si>
  <si>
    <t>Sân TT</t>
  </si>
  <si>
    <t xml:space="preserve"> Tỷ lệ xã, phường có sân thể thao phổ thông</t>
  </si>
  <si>
    <t xml:space="preserve"> Số phòng tập phổ thông cấp xã</t>
  </si>
  <si>
    <t>Phòng tập</t>
  </si>
  <si>
    <t xml:space="preserve"> Tỷ lệ xã, phường có phòng tập phổ thông</t>
  </si>
  <si>
    <t xml:space="preserve"> Số thôn, bản, tổ dân phố có nhà văn hóa và điểm sinh hoạt cộng đồng </t>
  </si>
  <si>
    <t>Thôn, bản</t>
  </si>
  <si>
    <t xml:space="preserve"> Tỷ lệ thôn, bản, tổ dân phố có nhà văn hóa và điểm sinh hoạt cộng đồng </t>
  </si>
  <si>
    <t xml:space="preserve"> Sân bóng đá mini tại thôn, bản</t>
  </si>
  <si>
    <t>Sân</t>
  </si>
  <si>
    <t xml:space="preserve"> Tỷ lệ thôn, bản có sân bóng đá mini</t>
  </si>
  <si>
    <t>Bảo tồn di sản văn hóa</t>
  </si>
  <si>
    <t xml:space="preserve">Số di sản văn hóa phi vật thể được lập hồ sơ khoa học đề nghị đưa vào Danh mục DSVH phi vật thể quốc gia </t>
  </si>
  <si>
    <t>DSVH</t>
  </si>
  <si>
    <t>Số di sản văn hóa phi vật thể được đưa vào Danh mục DSVH phi vật thể quốc gia</t>
  </si>
  <si>
    <t>Số di sản văn hóa phi vật thể được lập hồ sơ khoa học trình UNESCO đề nghị công nhận là di sản văn hóa phi vật thể đại diện của nhân loại</t>
  </si>
  <si>
    <t xml:space="preserve"> Số loại hình văn hóa phi vật thể của các dân tộc thiểu số được bảo tồn hàng năm</t>
  </si>
  <si>
    <t>Loại hình</t>
  </si>
  <si>
    <t>Tỷ lệ các dân tộc được kiểm kê, đánh giá về di sản văn hóa</t>
  </si>
  <si>
    <t>Tỷ lệ các dân tộc có các giá trị di sản văn hóa, tiêu biểu, đại diện được bảo tồn, phát huy</t>
  </si>
  <si>
    <t>Lượt người</t>
  </si>
  <si>
    <t xml:space="preserve"> Trong đó, lượt khách quốc tế</t>
  </si>
  <si>
    <t xml:space="preserve"> Tổng số hiện vật có trong bảo tàng đến cuối kỳ báo cáo</t>
  </si>
  <si>
    <t>Hiện vật</t>
  </si>
  <si>
    <t xml:space="preserve"> Số hiện vật mới được sưu tầm bổ sung mới trong kỳ </t>
  </si>
  <si>
    <t xml:space="preserve"> Số di tích lịch sử được xếp hạng đến cuối kỳ báo cáo</t>
  </si>
  <si>
    <t>Di tích</t>
  </si>
  <si>
    <t xml:space="preserve"> Trong đó, số di tích mới được xếp hạng trong kì</t>
  </si>
  <si>
    <t>Lĩnh vực Thể dục, thể thao</t>
  </si>
  <si>
    <t>Thể thao quần chúng</t>
  </si>
  <si>
    <t xml:space="preserve"> Số người tham gia luyện tập thường xuyên ít nhất 01 môn thể thao</t>
  </si>
  <si>
    <t xml:space="preserve"> Tỷ lệ người tham gia luyện tập thường xuyên  ít nhất 01 môn thể thao trong tổng dân số toàn tỉnh</t>
  </si>
  <si>
    <t>Số gia đình thể thao</t>
  </si>
  <si>
    <t>Gia đình</t>
  </si>
  <si>
    <t>Tỷ lệ gia đình thể thao trong tổng số hộ gia đình toàn tỉnh</t>
  </si>
  <si>
    <t xml:space="preserve"> Số câu lạc bộ thể thao cơ sở</t>
  </si>
  <si>
    <t>Thể thao thành tích cao</t>
  </si>
  <si>
    <t xml:space="preserve"> Số VĐV đạt đẳng cấp kiện tướng QG</t>
  </si>
  <si>
    <t>VĐV</t>
  </si>
  <si>
    <t xml:space="preserve"> Số VĐV đạt cấp I QG</t>
  </si>
  <si>
    <t xml:space="preserve"> Số huy chương các loại đạt được trong năm</t>
  </si>
  <si>
    <t>HC</t>
  </si>
  <si>
    <t>Giải</t>
  </si>
  <si>
    <t xml:space="preserve"> Số Vận động viên được đào tạo </t>
  </si>
  <si>
    <t xml:space="preserve"> Tr. Đó: - Tuyến I - Tập trung</t>
  </si>
  <si>
    <t xml:space="preserve">              - Tuyến II - Bán tập trung</t>
  </si>
  <si>
    <t>Lĩnh vực Du lịch</t>
  </si>
  <si>
    <t xml:space="preserve"> Số lượt khách du lịch đến Điện Biên</t>
  </si>
  <si>
    <t>1.000 Lượt người</t>
  </si>
  <si>
    <t xml:space="preserve"> Tr.đó: Số lượt khách khách Quốc tế</t>
  </si>
  <si>
    <t xml:space="preserve"> Thu nhập XH từ hoạt động du lịch</t>
  </si>
  <si>
    <t xml:space="preserve"> Số ngày lưu trú bình quân của khách nội địa</t>
  </si>
  <si>
    <t>Ngày</t>
  </si>
  <si>
    <t xml:space="preserve"> Số ngày lưu trú bình quân của khách quốc tế:</t>
  </si>
  <si>
    <t xml:space="preserve"> Số bản đủ tiêu chuẩn đón khách du lịch với sự đa dạng của các dân tộc</t>
  </si>
  <si>
    <t xml:space="preserve"> Tr.đó: Số bản đủ tiêu chuẩn đón khách du lịch quốc tế</t>
  </si>
  <si>
    <t>Biểu 08</t>
  </si>
  <si>
    <t>Các chỉ tiêu</t>
  </si>
  <si>
    <t>So sánh %</t>
  </si>
  <si>
    <t>TX. Mường Lay</t>
  </si>
  <si>
    <t>Bưu chính - Viễn thông</t>
  </si>
  <si>
    <t>Bưu chính</t>
  </si>
  <si>
    <t>Số xã có điểm bưu điện văn hóa xã</t>
  </si>
  <si>
    <t>Tỷ lệ xã có điểm bưu điện văn hóa xã</t>
  </si>
  <si>
    <t>Số dân phục vụ bình quân</t>
  </si>
  <si>
    <t>Người/điểm</t>
  </si>
  <si>
    <t>Bán kính phục vụ bình quân</t>
  </si>
  <si>
    <t>Km/điểm</t>
  </si>
  <si>
    <t>Tổng doanh thu dịch vụ bưu chính</t>
  </si>
  <si>
    <t>Viễn thông</t>
  </si>
  <si>
    <t>Tổng số thuê bao điện thoại</t>
  </si>
  <si>
    <t>Thuê bao</t>
  </si>
  <si>
    <t>Số thuê bao điện thoại trung bình 100 dân</t>
  </si>
  <si>
    <t>Máy/100 dân</t>
  </si>
  <si>
    <t>Số trạm thu phát sóng thông tin di động (BTS)</t>
  </si>
  <si>
    <t>Số xã, phường, TT có trạm thông tin di động 3G</t>
  </si>
  <si>
    <t>Số tuyến truyền dẫn quang liên tỉnh</t>
  </si>
  <si>
    <t>Tuyến</t>
  </si>
  <si>
    <t>Số tuyến truyền dẫn quang nội tỉnh</t>
  </si>
  <si>
    <t>Tổng chiều dài tuyến cáp các loại</t>
  </si>
  <si>
    <t>Km</t>
  </si>
  <si>
    <t>Tổng chiều dài tuyến cáp ngầm</t>
  </si>
  <si>
    <t>Tỷ lệ ngầm hóa mạng ngoại vi các tuyến</t>
  </si>
  <si>
    <t>Tổng doanh thu dịch vụ viễn thông</t>
  </si>
  <si>
    <t>Internet</t>
  </si>
  <si>
    <t>Số thuê bao internet</t>
  </si>
  <si>
    <t>Số thuê bao internet trung bình 100 dân</t>
  </si>
  <si>
    <t>Thuê bao/100 dân</t>
  </si>
  <si>
    <t>Số xã, phường, thị trấn được kết nối internet băng thông rộng</t>
  </si>
  <si>
    <t>Tỷ lệ xã, phường, thị trấn được kết nối internet băng thông rộng</t>
  </si>
  <si>
    <t>Tổng doanh thu dịch vụ internet</t>
  </si>
  <si>
    <t>Báo chí- xuất bản, Phát thanh - Truyền hình</t>
  </si>
  <si>
    <t>Báo chí - Xuất bản</t>
  </si>
  <si>
    <t>Số đầu sách, báo, tạp chí, băng đĩa (audio, video, trừ phim) xuất bản</t>
  </si>
  <si>
    <t>Loại</t>
  </si>
  <si>
    <t>Số bản sách, báo, tạp chí, băng đĩa (audio, video, trừ phim) xuất bản</t>
  </si>
  <si>
    <t>Số lượng sách, báo, tạp chí, băng đĩa địa phương bình quân</t>
  </si>
  <si>
    <t>Bản/người/năm</t>
  </si>
  <si>
    <t>Doanh thu hoạt động in, phát hành</t>
  </si>
  <si>
    <t>Phát thanh</t>
  </si>
  <si>
    <t>Tổng số giờ tiếp, phát sóng phát thanh TW</t>
  </si>
  <si>
    <t>Giờ/năm</t>
  </si>
  <si>
    <t>Số giờ phát, tiếp sóng phát thanh địa phương</t>
  </si>
  <si>
    <t>Số giờ phát, tiếp sóng phát thanh tiếng dân tộc địa phương</t>
  </si>
  <si>
    <t xml:space="preserve">Tỷ lệ giờ phát, tiếp sóng phát thanh tiếng dân tộc địa phương </t>
  </si>
  <si>
    <t>Số Đài Truyền thanh không dây</t>
  </si>
  <si>
    <t>Đài</t>
  </si>
  <si>
    <t>Số xã, phường có Đài truyền thanh không dây</t>
  </si>
  <si>
    <t>Tỷ lệ xã, phường có Đài truyền thanh không dây</t>
  </si>
  <si>
    <t>Số hộ nghe được Đài Tiếng nói Việt Nam</t>
  </si>
  <si>
    <t>Tỷ lệ hộ nghe được Đài Tiếng nói Việt Nam</t>
  </si>
  <si>
    <t>Số xã, phường được phủ sóng truyền thanh địa phương</t>
  </si>
  <si>
    <t>Tỷ lệ xã, phường được phủ sóng truyền thanh địa phương</t>
  </si>
  <si>
    <t>Số hộ nghe được Đài phát thanh địa phương</t>
  </si>
  <si>
    <t>Tỷ lệ hộ nghe được đài phát thanh địa phương</t>
  </si>
  <si>
    <t>Truyền hình</t>
  </si>
  <si>
    <t>Số giờ tiếp, phát sóng truyền hình TW</t>
  </si>
  <si>
    <t>Số giờ phát sóng, tiếp sóng truyền hình địa phương</t>
  </si>
  <si>
    <t>Số hộ xem được Đài Truyền hình Việt Nam</t>
  </si>
  <si>
    <t>Tỷ lệ hộ xem được Đài Truyền hình Việt Nam</t>
  </si>
  <si>
    <t>Số xã, phường được phủ sóng truyền hình tỉnh</t>
  </si>
  <si>
    <t>Tỷ lệ xã, phường được phủ sóng truyền hình tỉnh</t>
  </si>
  <si>
    <t>Số hộ xem được đài truyền hình địa phương</t>
  </si>
  <si>
    <t>Tỷ lệ hộ xem được đài truyền hình địa phương</t>
  </si>
  <si>
    <t>Công nghệ thông tin</t>
  </si>
  <si>
    <t>Tổng số máy tính tại cơ quan, đơn vị (máy chủ, trạm, xách tay)</t>
  </si>
  <si>
    <t>Máy chủ</t>
  </si>
  <si>
    <t>Máy</t>
  </si>
  <si>
    <t>Máy trạm</t>
  </si>
  <si>
    <t>Tỷ lệ cán bộ, công chức tại các cơ quan chuyên môn được trang bị máy tính</t>
  </si>
  <si>
    <t>- Cấp tỉnh</t>
  </si>
  <si>
    <t>- Cấp huyện</t>
  </si>
  <si>
    <t>- Cấp xã</t>
  </si>
  <si>
    <t>Tỷ lệ máy tính có kết nối Internet</t>
  </si>
  <si>
    <t>Tỷ lệ cán bộ, công chức được cấp và thường xuyên sử dụng phần mềm quản lý văn bản và điều hành</t>
  </si>
  <si>
    <t>Tỷ lệ cán bộ, công chức thường xuyên sử dụng thư điện tử trong công việc</t>
  </si>
  <si>
    <t>Biểu số 7</t>
  </si>
  <si>
    <t>DANH MỤC CÁC DỰ ÁN QUY HOẠCH</t>
  </si>
  <si>
    <t>Đơn vị: Triệu đồng</t>
  </si>
  <si>
    <t>Cấp phê duyệt</t>
  </si>
  <si>
    <t>Thời gian bắt đầu - kết thúc</t>
  </si>
  <si>
    <t>Tổng dự toán được duyệt</t>
  </si>
  <si>
    <t>Vốn trong nước</t>
  </si>
  <si>
    <t>Vốn nước ngoài</t>
  </si>
  <si>
    <t>7=6/4</t>
  </si>
  <si>
    <t>8=6/5</t>
  </si>
  <si>
    <t>2019/2018</t>
  </si>
  <si>
    <t>2019/
2018</t>
  </si>
  <si>
    <t>2019
2018</t>
  </si>
  <si>
    <t>Theo số liệu của sở GT</t>
  </si>
  <si>
    <t>Số dịch vụ công trực tuyến được cung cấp</t>
  </si>
  <si>
    <t>DVC trực tuyến</t>
  </si>
  <si>
    <t>Tỷ lệ dịch vụ công trực tuyến so với tổng số dịch vụ công</t>
  </si>
  <si>
    <t>Tổng số lao động đang làm việc trong các ngành KTQD</t>
  </si>
  <si>
    <t>Tỷ lệ tham gia BHXH bắt buộc</t>
  </si>
  <si>
    <t>Tỷ lệ tham gia BHXH thất nghiệp</t>
  </si>
  <si>
    <t>Tỷ lệ tham gia BHXH tự nguyện</t>
  </si>
  <si>
    <t xml:space="preserve"> Lao động việc làm</t>
  </si>
  <si>
    <t xml:space="preserve"> Tổng số người trong độ tuổi  LĐ</t>
  </si>
  <si>
    <t xml:space="preserve"> Số LĐ chia theo khu vực</t>
  </si>
  <si>
    <t xml:space="preserve"> Lực lượng lao động</t>
  </si>
  <si>
    <t xml:space="preserve"> LĐ đang làm việc trong các ngành KTQD</t>
  </si>
  <si>
    <t xml:space="preserve"> Công nghiệp - Xây dựng</t>
  </si>
  <si>
    <t xml:space="preserve"> Nông nghiệp - Lâm nghiệp - Thủy sản</t>
  </si>
  <si>
    <t xml:space="preserve"> Thương mại - Dịch vụ</t>
  </si>
  <si>
    <t xml:space="preserve"> Tổng số Lao động qua đào tạo</t>
  </si>
  <si>
    <t xml:space="preserve"> Tỷ lệ thất nghiệp ở khu vực thành thị</t>
  </si>
  <si>
    <t xml:space="preserve"> - Tỷ lệ xã, phường, thị trấn đạt tiêu chuẩn phù hợp với trẻ em</t>
  </si>
  <si>
    <t>Bổ sung một số chỉ số liên quan đến Phát triển trẻ thơ toàn diện từ năm 2019</t>
  </si>
  <si>
    <t>Số trẻ em không nơi nương tựa được nhận nuôi dưỡng tại cộng đồng</t>
  </si>
  <si>
    <t>Số vụ bạo hành trẻ em được phát hiện</t>
  </si>
  <si>
    <t>Vụ</t>
  </si>
  <si>
    <t>Số vụ bạo hành trẻ em được xử lý</t>
  </si>
  <si>
    <t>Số cán bộ làm công tác bảo vệ trẻ em/cán bộ công tác xã hội các cấp tham gia quản lý trường hợp</t>
  </si>
  <si>
    <t xml:space="preserve">             - Làng trẻ em SOS ĐBP</t>
  </si>
  <si>
    <t xml:space="preserve"> Bảo hiểm xã hội</t>
  </si>
  <si>
    <t>Đối tượng thuộc diện tham gia BHXH bắt buộc</t>
  </si>
  <si>
    <t>Số người tham gia BHXH bắt buộc</t>
  </si>
  <si>
    <t>Tốc độ phát triển số người tham gia BHXH bắt buộc</t>
  </si>
  <si>
    <t>Đối tượng thuộc diện tham gia BHXH thất nghiệp</t>
  </si>
  <si>
    <t xml:space="preserve"> - Số người tham gia BHXH thất nghiệp</t>
  </si>
  <si>
    <t>Tốc độ phát triển số người tham gia BHXH thất nghiệp</t>
  </si>
  <si>
    <t>Đối tượng thuộc diện tham gia BHXH tự nguyện</t>
  </si>
  <si>
    <t xml:space="preserve"> - Số người tham gia BHXH tự nguyện</t>
  </si>
  <si>
    <t>Tốc độ phát triển số người tham gia BHXH tự nguyện</t>
  </si>
  <si>
    <t xml:space="preserve"> - Cao đẳng chính quy</t>
  </si>
  <si>
    <t xml:space="preserve"> - Trung cấp chính quy</t>
  </si>
  <si>
    <t xml:space="preserve"> - Đào tạo cao đẳng, trung cấp không chính quy</t>
  </si>
  <si>
    <t xml:space="preserve"> - Bồi dưỡng các hệ </t>
  </si>
  <si>
    <t xml:space="preserve"> - Đào tạo nghề</t>
  </si>
  <si>
    <t xml:space="preserve"> - Thạc sỹ (liên kết đào tạo)</t>
  </si>
  <si>
    <t xml:space="preserve"> - Đại học (liên kết đào tạo)</t>
  </si>
  <si>
    <t xml:space="preserve">Chỉ tiêu ngoài ngân sách </t>
  </si>
  <si>
    <t>Liên kết đào tạo vừa làm vừa học (tuyển mới)</t>
  </si>
  <si>
    <t xml:space="preserve"> - Thạc sỹ </t>
  </si>
  <si>
    <t xml:space="preserve"> - Đại học </t>
  </si>
  <si>
    <t xml:space="preserve"> - Hướng dẫn du lịch</t>
  </si>
  <si>
    <t xml:space="preserve"> - Xây dựng dân dụng và Công nghiệp</t>
  </si>
  <si>
    <t>Đào tạo nghề (Sơ cấp + Đào tạo thường xuyên)</t>
  </si>
  <si>
    <t>d</t>
  </si>
  <si>
    <t xml:space="preserve"> Tuyển mới đào tạo liên thông (từ trung cấp lên cao đẳng, hệ vừa học vừa làm)</t>
  </si>
  <si>
    <t xml:space="preserve"> Liên kết đào tạo vừa làm vừa học (tuyển mới)</t>
  </si>
  <si>
    <t xml:space="preserve"> Chuyển đổi sang Dược sỹ trung cấp (tuyển mới)</t>
  </si>
  <si>
    <t>Số liệu PC sau khi thống nhất với A Toàn, không đồng ý điều chỉnh KH PC, phải theo KH XMC tỉnh đã phê duyệt tại QĐ số 3404</t>
  </si>
  <si>
    <t>Tr. đó: - Trường đạt chuẩn Quốc gia</t>
  </si>
  <si>
    <t xml:space="preserve">             - Số trường PTDTBT</t>
  </si>
  <si>
    <t xml:space="preserve">              - Số trường THCS tư thục</t>
  </si>
  <si>
    <t>Trung tâm GDTX tỉnh</t>
  </si>
  <si>
    <t>Trung tâm KTTH-HN tỉnh</t>
  </si>
  <si>
    <t>Trung tâm NN-TH</t>
  </si>
  <si>
    <t>Trung tâm GDNN-GDTX</t>
  </si>
  <si>
    <t>Trung tâm Hỗ trợ phát triển giáo dục hòa nhập tỉnh Điện Biên</t>
  </si>
  <si>
    <t>VI</t>
  </si>
  <si>
    <t>Thị xã 
Mường Lay</t>
  </si>
  <si>
    <t xml:space="preserve">Tham gia giải thi đấu TDTT </t>
  </si>
  <si>
    <t xml:space="preserve"> Trong đó: Tham gia Hội thi</t>
  </si>
  <si>
    <t>Hội thi</t>
  </si>
  <si>
    <t>Số cán bộ quản lý, giáo viên, nhân viên mầm non được tập huấn về tư vấn dinh dưỡng và tâm lý cho trẻ</t>
  </si>
  <si>
    <t>Số nhân viên nấu ăn có chứng chỉ nghề nấu ăn</t>
  </si>
  <si>
    <t>Số điểm trường mầm non có nhà vệ sinh hợp vệ sinh</t>
  </si>
  <si>
    <t>Điểm trường</t>
  </si>
  <si>
    <t>Số điểm trường mầm non có nguồn nước sử dụng hợp vệ sinh</t>
  </si>
  <si>
    <t>Số nhóm/lớp mầm non có đủ thiết bị, đồ dùng, đồ chơi tối thiểu theo quy định</t>
  </si>
  <si>
    <t>Số điểm trường mầm non có 05 loại đồ chơi ngoài trời trở lên trong danh mục quy định</t>
  </si>
  <si>
    <t>Dự án quy hoạch chuyển tiếp</t>
  </si>
  <si>
    <t>Cơ sở giáo dục</t>
  </si>
  <si>
    <t>Bổ sung một số chỉ số liên quan đến Phát triển trẻ thơ toàn diện</t>
  </si>
  <si>
    <t>9=8/6</t>
  </si>
  <si>
    <t>Ước thực
hiện cả năm</t>
  </si>
  <si>
    <t>TP.ĐBP</t>
  </si>
  <si>
    <t>ĐBĐông</t>
  </si>
  <si>
    <t>TX. MLay</t>
  </si>
  <si>
    <t>Nông nghiệp</t>
  </si>
  <si>
    <t>Sản xuất cây lương thực</t>
  </si>
  <si>
    <t>- Sản lượng thóc</t>
  </si>
  <si>
    <t>- Sản lượng thóc ruộng</t>
  </si>
  <si>
    <t>- Cơ cấu thóc ruộng
trong TSLLT</t>
  </si>
  <si>
    <t>Lúa Đông xuân</t>
  </si>
  <si>
    <t xml:space="preserve">Sản lượng </t>
  </si>
  <si>
    <t>Lúa Mùa</t>
  </si>
  <si>
    <t>Lúa nương</t>
  </si>
  <si>
    <t>Cây ngô</t>
  </si>
  <si>
    <t>Cây chè búp</t>
  </si>
  <si>
    <t>- Tổng Diện tích</t>
  </si>
  <si>
    <t>Trong đó: DT trồng mới</t>
  </si>
  <si>
    <t>- Sản lượng búp tươi</t>
  </si>
  <si>
    <t>Cây cà phê</t>
  </si>
  <si>
    <t>Cây cao su</t>
  </si>
  <si>
    <t xml:space="preserve">  Đàn trâu </t>
  </si>
  <si>
    <t xml:space="preserve">  Đàn bò  </t>
  </si>
  <si>
    <t xml:space="preserve"> Đàn gia cầm </t>
  </si>
  <si>
    <t xml:space="preserve">Tổng sản lượng </t>
  </si>
  <si>
    <t>Trồng rừng tập trung</t>
  </si>
  <si>
    <t>Trồng rừng phòng hộ</t>
  </si>
  <si>
    <t>Trồng rừng sản xuất (CT30a và các nguồn vốn khác)</t>
  </si>
  <si>
    <t xml:space="preserve">Khoán bảo vệ rừng </t>
  </si>
  <si>
    <t>Khoanh nuôi tái sinh rừng</t>
  </si>
  <si>
    <t>Độ che phủ rừng</t>
  </si>
  <si>
    <t xml:space="preserve"> - Tỷ lệ hộ cận nghèo</t>
  </si>
  <si>
    <t>Tỷ lệ hộ nghèo dân tộc thiểu số</t>
  </si>
  <si>
    <t>2019/ 2018</t>
  </si>
  <si>
    <t>Tổng số Trường cao đẳng trên địa bàn tỉnh</t>
  </si>
  <si>
    <t>Tổng số chỉ tiêu tuyển mới</t>
  </si>
  <si>
    <t>CHI TIẾT TẠI CÁC CƠ SỞ ĐÀO TẠO</t>
  </si>
  <si>
    <r>
      <t xml:space="preserve">Chỉ tiêu trong ngân sách </t>
    </r>
    <r>
      <rPr>
        <b/>
        <i/>
        <sz val="11"/>
        <rFont val="Times New Roman"/>
        <family val="1"/>
      </rPr>
      <t>(Đào tạo chính quy)</t>
    </r>
  </si>
  <si>
    <t>Các chỉ tiêu phát triển thiên niên kỷ đối với đồng bào dân tộc thiểu số</t>
  </si>
  <si>
    <t>Tỷ lệ trẻ em DTTS nhập học đúng độ tuổi bậc tiểu học (%)</t>
  </si>
  <si>
    <t>Tỷ lệ người DTTS hoàn thành chương trình  tiểu học (%)</t>
  </si>
  <si>
    <t>Tỷ lệ người DTTS biết chữ  trong độ tuổi từ 15 tuổi đến 60 tuổi (%)</t>
  </si>
  <si>
    <t>Tỷ lệ nữ người DTTS biết chữ trong độ tuổi từ 15 đến 60 tuổi (%)</t>
  </si>
  <si>
    <t>Tỷ lệ học sinh nữ DTTS ở cấp tiểu học, trung học cơ sở, trung học phổ thông (%)</t>
  </si>
  <si>
    <t>Tổng DT cây lương thực có hạt</t>
  </si>
  <si>
    <t>Trồng rừng thay thế</t>
  </si>
  <si>
    <t>Số hộ nghèo đầu kỳ theo chuẩn Quốc gia</t>
  </si>
  <si>
    <t>Giảm nghèo</t>
  </si>
  <si>
    <t xml:space="preserve">Số hộ nghèo cuối kỳ theo chuẩn Quốc gia </t>
  </si>
  <si>
    <t>Số hộ tái nghèo, phát sinh nghèo</t>
  </si>
  <si>
    <t>Cây công nghiệp dài ngày</t>
  </si>
  <si>
    <t>Tổng Diện tích</t>
  </si>
  <si>
    <t>Số cụm công nghiệp đang hoạt động</t>
  </si>
  <si>
    <t>Cụm</t>
  </si>
  <si>
    <t>Tổng số xã đạt và cơ bản đạt chuẩn NTM (lũy kế đến hết năm 2018), trong đó:</t>
  </si>
  <si>
    <t>Số lao động đi làm việc ở nước ngoài theo hợp đồng (số lao động xuất khẩu )</t>
  </si>
  <si>
    <t xml:space="preserve">Tỷ lệ số xã đạt và cơ bản đạt chuẩn nông thôn mới so với mục tiêu NQ (đến 2020 có 35 xã cơ bản đạt tiêu chí NTM) </t>
  </si>
  <si>
    <t>10=9/6</t>
  </si>
  <si>
    <t>Số hộ tái, phát sinh nghèo</t>
  </si>
  <si>
    <t xml:space="preserve">Số xã đạt mới </t>
  </si>
  <si>
    <t>Tổng vốn chủ sở hữu tại doanh nghiệp*</t>
  </si>
  <si>
    <t>Biểu 3.4</t>
  </si>
  <si>
    <t>Nội dung</t>
  </si>
  <si>
    <t xml:space="preserve">Đơn vị tính </t>
  </si>
  <si>
    <t xml:space="preserve">Chia ra các huyện, thị, thành phố </t>
  </si>
  <si>
    <t>Tuần 
Giáo</t>
  </si>
  <si>
    <t xml:space="preserve">Mường Ảng </t>
  </si>
  <si>
    <t>Tủa 
Chùa</t>
  </si>
  <si>
    <t>Nậm 
Pồ</t>
  </si>
  <si>
    <t xml:space="preserve"> Chỉ tiêu hoạt động:</t>
  </si>
  <si>
    <t xml:space="preserve"> Tỷ lệ TE&lt;1 tuổi TCĐĐ các loại Vắc xin</t>
  </si>
  <si>
    <t>Biểu làm lại số liệu hoàn toàn mới so với của Phòng tổng hợp (Đề nghị Copy nguyên cả sheet)</t>
  </si>
  <si>
    <t xml:space="preserve"> Tỷ lệ PN đẻ được khám thai 3 lần/3 kỳ thai nghén</t>
  </si>
  <si>
    <t xml:space="preserve">Tỷ lệ phụ nữ DTTS được khám thai ít nhất 3 lần trong kỳ mang thai </t>
  </si>
  <si>
    <t>bổ sung các chỉ tiêu về dân tộc thiểu số</t>
  </si>
  <si>
    <t xml:space="preserve"> Tỷ lệ phụ nữ có thai được tiêm phòng UV2+</t>
  </si>
  <si>
    <t xml:space="preserve"> Tỷ lệ PNCT được tư vấn và kiểm tra HIV</t>
  </si>
  <si>
    <t xml:space="preserve"> Tỷ lệ PNCT nhiễm HIV nhận được thuốc  ARV/số PNMT nhiễm HIV toàn tỉnh </t>
  </si>
  <si>
    <t xml:space="preserve"> Tỷ suất tử vong TE dưới 1 tuổi</t>
  </si>
  <si>
    <t>%o</t>
  </si>
  <si>
    <t xml:space="preserve">Tỷ suất tử vong trẻ em DTTS dưới 1 tuổi trên 1000 trẻ DTTS đẻ sống </t>
  </si>
  <si>
    <t xml:space="preserve"> Tỷ suất tử vong TE dưới 5 tuổi</t>
  </si>
  <si>
    <t xml:space="preserve">Tỷ suất tử vong trẻ em DTTS dưới 5 tuổi trên 1000 trẻ DTTS đẻ sống </t>
  </si>
  <si>
    <t xml:space="preserve"> Tỷ số tử vong mẹ/100.000 trẻ đẻ sống</t>
  </si>
  <si>
    <t>BM</t>
  </si>
  <si>
    <t>Tỷ số tử vong người mẹ DTTS/100.000 trẻ người DTTS đẻ sống</t>
  </si>
  <si>
    <t xml:space="preserve"> Tỷ lệ trẻ sơ sinh dưới 2500 gr</t>
  </si>
  <si>
    <t xml:space="preserve"> Tỷ lệ trẻ nhỏ được bú mẹ hoàn toàn trong 6 tháng đầu</t>
  </si>
  <si>
    <t xml:space="preserve"> Tỷ lệ TE dưới 5 tuổi SDD (cân nặng/tuổi)</t>
  </si>
  <si>
    <t xml:space="preserve">Tỷ lệ suy dinh dưỡng cân nặng/tuổi ở trẻ em DTTS dưới 5 tuổi </t>
  </si>
  <si>
    <t xml:space="preserve"> Tỷ lệ trẻ dưới 5 tuổi bị SDD thể thấp còi (chiều cao theo tuổi) </t>
  </si>
  <si>
    <t xml:space="preserve">Tỷ lệ các ca sinh của phụ nữ DTTS được cán bộ y tế đã qua đào tạo đỡ </t>
  </si>
  <si>
    <t xml:space="preserve"> Tỷ lệ dân số dùng muối Iốt</t>
  </si>
  <si>
    <t xml:space="preserve"> Tỷ lệ Bướu cổ trẻ em từ 8 - 10 tuổi</t>
  </si>
  <si>
    <t xml:space="preserve"> Tỷ lệ hộ gia đình sử dụng nhà tiêu vệ sinh hợp vệ sinh</t>
  </si>
  <si>
    <t>Tỷ lệ hộ gia đình DTTS sử dụng nhà tiêu vệ sinh hợp vệ sinh</t>
  </si>
  <si>
    <t xml:space="preserve"> Tỷ lệ mắc một số bệnh xã hội/dân số:</t>
  </si>
  <si>
    <t xml:space="preserve"> Uốn ván</t>
  </si>
  <si>
    <t>1/100.000</t>
  </si>
  <si>
    <t xml:space="preserve"> Sốt rét</t>
  </si>
  <si>
    <t>1/1000</t>
  </si>
  <si>
    <t xml:space="preserve">Tỷ lệ người DTTS mắc sốt rét/1000 dân DTTS </t>
  </si>
  <si>
    <t>Tỷ lệ người DTTS mắc lao/100.000 dân DTTS</t>
  </si>
  <si>
    <t xml:space="preserve"> HIV/AIDS còn sống</t>
  </si>
  <si>
    <t xml:space="preserve">Tỷ lệ nhiễm HIV ở nhóm dân số DTTS 15-24 tuổi </t>
  </si>
  <si>
    <t xml:space="preserve"> Phong (BN phong mới phát hiện)</t>
  </si>
  <si>
    <t xml:space="preserve"> Phong lưu hành</t>
  </si>
  <si>
    <t xml:space="preserve"> Tâm thần </t>
  </si>
  <si>
    <t xml:space="preserve"> Ngộ độc thực phẩm </t>
  </si>
  <si>
    <t xml:space="preserve"> Tai nạn thương tích</t>
  </si>
  <si>
    <t xml:space="preserve">Số trẻ &lt; 15 tuổi  chiếm 33,56% dân số </t>
  </si>
  <si>
    <t>Số trẻ &lt; 15 tuổi  mắc các bệnh có tiêm chủng</t>
  </si>
  <si>
    <t>Số trẻ &lt; 15 tuổi  chết các bệnh có tiêm chủng</t>
  </si>
  <si>
    <t>Tỷ lệ &lt; 15 tuổi chết</t>
  </si>
  <si>
    <t xml:space="preserve"> Thuốc tiêu dùng bình quân người/năm</t>
  </si>
  <si>
    <t>Đồng</t>
  </si>
  <si>
    <t xml:space="preserve"> Cơ sở cung cấp dịch vụ y tế</t>
  </si>
  <si>
    <t xml:space="preserve"> Tuyến tỉnh</t>
  </si>
  <si>
    <t xml:space="preserve"> Bệnh viện tuyến tỉnh:</t>
  </si>
  <si>
    <t>BV</t>
  </si>
  <si>
    <t xml:space="preserve"> Bệnh viện đa khoa </t>
  </si>
  <si>
    <t xml:space="preserve"> Bệnh viện y học cổ truyền</t>
  </si>
  <si>
    <t xml:space="preserve"> Bệnh viện Lao và Bệnh phổi</t>
  </si>
  <si>
    <t xml:space="preserve"> Bệnh viện Tâm thần</t>
  </si>
  <si>
    <t xml:space="preserve"> Bệnh viện Điều dưỡng phục hồi chức năng</t>
  </si>
  <si>
    <t xml:space="preserve"> Khu điều trị bệnh nhân phong</t>
  </si>
  <si>
    <t>Cơ sở</t>
  </si>
  <si>
    <t xml:space="preserve"> Chi cục Dân số - KHHGĐ</t>
  </si>
  <si>
    <t>Chi cục</t>
  </si>
  <si>
    <t xml:space="preserve"> Chi cục An toàn vệ sinh thực phẩm</t>
  </si>
  <si>
    <t xml:space="preserve"> Trung tâm chuyên khoa tuyến tỉnh</t>
  </si>
  <si>
    <t xml:space="preserve"> Tuyến huyện, xã</t>
  </si>
  <si>
    <t xml:space="preserve"> Bệnh viện huyện</t>
  </si>
  <si>
    <t xml:space="preserve"> Phòng khám đa khoa khu vực</t>
  </si>
  <si>
    <t>PK</t>
  </si>
  <si>
    <t xml:space="preserve"> Đội y tế dự phòng</t>
  </si>
  <si>
    <t>Đội</t>
  </si>
  <si>
    <t xml:space="preserve"> Đội Bảo vệ bà mẹ trẻ em - KHHGĐ</t>
  </si>
  <si>
    <t xml:space="preserve"> TTYT các huyện</t>
  </si>
  <si>
    <t xml:space="preserve"> TT Dân số - KHHGĐ các huyện</t>
  </si>
  <si>
    <t xml:space="preserve"> Trạm y tế xã, phường</t>
  </si>
  <si>
    <t xml:space="preserve"> Tỷ lệ xã có trạm y tế (có tổ chức bộ máy trạm y tế)</t>
  </si>
  <si>
    <t xml:space="preserve"> Tổng số giường bệnh toàn tỉnh</t>
  </si>
  <si>
    <t xml:space="preserve"> Trong đó: Giường Quốc lập</t>
  </si>
  <si>
    <t xml:space="preserve"> Tỷ lệ giường bệnh Quốc lập /vạn dân</t>
  </si>
  <si>
    <t>1/10.000</t>
  </si>
  <si>
    <t xml:space="preserve"> Giường bệnh tuyến tỉnh</t>
  </si>
  <si>
    <t xml:space="preserve"> BV đa khoa tỉnh</t>
  </si>
  <si>
    <t xml:space="preserve"> BV đa khoa khu vực thị xã M.Lay</t>
  </si>
  <si>
    <t xml:space="preserve"> BV Y học cổ truyền</t>
  </si>
  <si>
    <t xml:space="preserve"> BV lao và Bệnh phổi</t>
  </si>
  <si>
    <t xml:space="preserve"> Bệnh viện Phụ sản</t>
  </si>
  <si>
    <t xml:space="preserve"> Giường bệnh TTYT huyện:</t>
  </si>
  <si>
    <t xml:space="preserve"> Giường bệnh Bệnh viện huyện</t>
  </si>
  <si>
    <t xml:space="preserve"> Giường bệnh PKĐKKV</t>
  </si>
  <si>
    <r>
      <t xml:space="preserve"> Giường bệnh trạm y tế xã (3 giường lưu/trạm)</t>
    </r>
    <r>
      <rPr>
        <i/>
        <sz val="10"/>
        <rFont val="Times New Roman"/>
        <family val="1"/>
      </rPr>
      <t xml:space="preserve"> </t>
    </r>
  </si>
  <si>
    <t xml:space="preserve"> Nhân lực y tế:</t>
  </si>
  <si>
    <t xml:space="preserve"> Số bác sĩ</t>
  </si>
  <si>
    <t xml:space="preserve"> Tỷ lệ Bác sỹ/ vạn dân</t>
  </si>
  <si>
    <t xml:space="preserve"> Số DSĐH</t>
  </si>
  <si>
    <t xml:space="preserve"> Tỷ lệ Dược sỹ đại học/ vạn dân</t>
  </si>
  <si>
    <t xml:space="preserve"> Số xã có bác sĩ</t>
  </si>
  <si>
    <t xml:space="preserve"> Tỷ lệ trạm y tế xã có bác sỹ hoạt động</t>
  </si>
  <si>
    <t xml:space="preserve"> Số xã có NHS hoặc YSSN</t>
  </si>
  <si>
    <t xml:space="preserve"> Tỷ lệ xã có NHS hoặc YSSN</t>
  </si>
  <si>
    <t xml:space="preserve"> Số bản có Nhân viên y tế thôn bản</t>
  </si>
  <si>
    <t xml:space="preserve"> Tỷ lệ bản có Nhân viên y tế thôn bản</t>
  </si>
  <si>
    <t>Số thôn, bản</t>
  </si>
  <si>
    <t>Bộ tiêu chí quốc gia về y tế xã</t>
  </si>
  <si>
    <t xml:space="preserve"> Xã đạt chuẩn Quốc gia về y tế xã (theo Chuẩn cũ)</t>
  </si>
  <si>
    <t xml:space="preserve"> Tỷ lệ xã đạt chuẩn QGYT theo Chuẩn cũ</t>
  </si>
  <si>
    <t xml:space="preserve"> Xã đạt Tiêu chí quốc gia về y tế xã 2011-2020</t>
  </si>
  <si>
    <t xml:space="preserve"> Tỷ lệ xã đạt Tiêu chí quốc gia về y tế xã</t>
  </si>
  <si>
    <t>F</t>
  </si>
  <si>
    <t xml:space="preserve"> Dân số - Kế hoạch hóa gia đình</t>
  </si>
  <si>
    <t xml:space="preserve"> Dân số</t>
  </si>
  <si>
    <t xml:space="preserve"> Dân số trung bình </t>
  </si>
  <si>
    <t xml:space="preserve"> - Tỷ lệ sinh</t>
  </si>
  <si>
    <t xml:space="preserve"> - Tỷ lệ tăng dân số tự nhiên</t>
  </si>
  <si>
    <t>Tỷ suất chết thô</t>
  </si>
  <si>
    <t xml:space="preserve"> - Mức giảm tỷ lệ sinh</t>
  </si>
  <si>
    <t xml:space="preserve"> - Tỷ lệ phát triển dân số</t>
  </si>
  <si>
    <t xml:space="preserve"> - Tỷ số giới tính khi sinh</t>
  </si>
  <si>
    <t>Số bé trai/100 bé gái</t>
  </si>
  <si>
    <t xml:space="preserve"> Dân số phân theo giới tính:</t>
  </si>
  <si>
    <t xml:space="preserve"> - Dân số nam</t>
  </si>
  <si>
    <t xml:space="preserve">    Tỷ lệ so với tổng dân số</t>
  </si>
  <si>
    <t xml:space="preserve"> - Dân số nữ</t>
  </si>
  <si>
    <t xml:space="preserve"> Dân số phân theo thành thị, nông thôn:</t>
  </si>
  <si>
    <t xml:space="preserve"> - Dân số thành thị</t>
  </si>
  <si>
    <t xml:space="preserve"> - Dân số nông thôn</t>
  </si>
  <si>
    <t xml:space="preserve"> Kế hoạch hóa gia đình:</t>
  </si>
  <si>
    <t xml:space="preserve"> - Tỷ lệ nữ từ 15 - 49 tuổi so với dân số</t>
  </si>
  <si>
    <t xml:space="preserve"> - Tỷ lệ PN 15 - 49 tuổi có chồng</t>
  </si>
  <si>
    <t xml:space="preserve"> - Tỷ lệ các cặp vợ chồng thực hiện các BPTT</t>
  </si>
  <si>
    <t xml:space="preserve"> - Tỷ lệ các bà mẹ sinh con thứ 3 trở lên so với tổng số bà mẹ sinh con trong năm</t>
  </si>
  <si>
    <t>G</t>
  </si>
  <si>
    <t>Số người tham gia Bảo hiểm y tế</t>
  </si>
  <si>
    <t>- Tỷ lệ người dân tham gia Bảo hiểm y tế</t>
  </si>
  <si>
    <t>H</t>
  </si>
  <si>
    <t>Bổ sung mới các chỉ tiêu về phòng chống HIV/AIDS:</t>
  </si>
  <si>
    <t>Tỷ lệ người nhiễm HIV có nhu cầu điều trị bằng thuốc ARV tiếp cận được thuốc ARV</t>
  </si>
  <si>
    <t xml:space="preserve">Giảm tỷ lệ nhiễm HIV của trẻ em sinh ra từ mẹ nhiễm HIV </t>
  </si>
  <si>
    <t>Tỷ lệ người nghiện các chất dạng thuốc phiện được điều trị thay thế bằng thuốc Methadone</t>
  </si>
  <si>
    <t>Số người người nghiện các chất dạng thuốc phiện được điều trị thay thế bằng thuốc Methadone</t>
  </si>
  <si>
    <t>K</t>
  </si>
  <si>
    <t>Tỷ lệ trẻ 18 tháng tuổi tiêm sởi - rubella</t>
  </si>
  <si>
    <t>Tỷ lệ trẻ 18 tháng tuổi tiêm DPT mũi 4</t>
  </si>
  <si>
    <t>Tỷ lệ trẻ 1 - 5 tuổi tiêm viêm não 2 mũi cơ bản</t>
  </si>
  <si>
    <t>Tỷ lệ trẻ 2 - 5 tuổi tiêm viêm não mũi 3</t>
  </si>
  <si>
    <t>Tỷ lệ trẻ em &lt; 6 tuổi bị khuyết tật tại cộng đồng được phát hiện, can thiệp sớm</t>
  </si>
  <si>
    <t>Tỷ lệ phụ nữ đẻ tại cơ sở y tế</t>
  </si>
  <si>
    <t>Tỷ lệ bà mẹ và trẻ sơ sinh được nhân viên y tế chăm sóc tuần đầu sau sinh</t>
  </si>
  <si>
    <t>CÁC CHỈ TIÊU KINH TẾ TỔNG HỢP NĂM 2020</t>
  </si>
  <si>
    <t>Thực hiện  2018</t>
  </si>
  <si>
    <t>Năm 2019</t>
  </si>
  <si>
    <t>Ước thực hiện 2019 so với thực hiện 2018 (%)</t>
  </si>
  <si>
    <t>Ước thực hiện 2019 so với KH 2019</t>
  </si>
  <si>
    <t>Kế hoạch 2020</t>
  </si>
  <si>
    <t>Kế hoạch 2020 so với ước thực hiện 2019 (%)</t>
  </si>
  <si>
    <t>CÁC CHỈ TIÊU NÔNG NGHIỆP, CÔNG NGHIỆP, DỊCH VỤ, XUẤT NHẬP KHẨU NĂM 2020</t>
  </si>
  <si>
    <t>CHỈ TIÊU SẢN XUẤT NÔNG NGHIỆP CHỦ YẾU NĂM 2020 - TỈNH ĐIỆN BIÊN</t>
  </si>
  <si>
    <t>Thực hiện
2018</t>
  </si>
  <si>
    <t>Kế hoạch năm 2020</t>
  </si>
  <si>
    <t>2020/2019</t>
  </si>
  <si>
    <t>Biểu số 2.1</t>
  </si>
  <si>
    <t xml:space="preserve">CHỈ TIÊU SẢN XUẤT CÔNG NGHIỆP, DỊCH VỤ NĂM 2020 - TỈNH ĐIỆN BIÊN
</t>
  </si>
  <si>
    <t>TH 2018</t>
  </si>
  <si>
    <t>CÁC CHỈ TIÊU XÃ HỘI NĂM 2020</t>
  </si>
  <si>
    <t xml:space="preserve"> CHỈ TIÊU HƯỚNG DẪN PHÁT TRIỂN LAO ĐỘNG VIỆC LÀM, BẢO VỆ TRẺ EM, CÁC VẤN ĐỀ XÃ HỘI VÀ ĐÀO TẠO NGHỀ NĂM 2020</t>
  </si>
  <si>
    <t>Thực hiện năm 2018</t>
  </si>
  <si>
    <t>Ước TH năm 2019</t>
  </si>
  <si>
    <t>2020/
2019</t>
  </si>
  <si>
    <t>CHỈ TIÊU HƯỚNG DẪN VỀ PHÁT TRIỂN ĐÀO TẠO NĂM 2020</t>
  </si>
  <si>
    <t xml:space="preserve"> Thực hiện năm 2018</t>
  </si>
  <si>
    <t>2020/ 2019</t>
  </si>
  <si>
    <t>CHỈ TIÊU HƯỚNG DẪN PHÁT TRIỂN SỰ NGHIỆP GIÁO DỤC NĂM 2020 (Năm học 2020-2021)</t>
  </si>
  <si>
    <t>CHỈ TIÊU HƯỚNG DẪN PHÁT TRIỂN SỰ NGHIỆP Y TẾ NĂM 2020</t>
  </si>
  <si>
    <t>CHỈ TIÊU HƯỚNG DẪN PHÁT TRIỂN SỰ NGHIỆP VĂN HOÁ, THỂ THAO VÀ DU LỊCH NĂM 2020</t>
  </si>
  <si>
    <t>2020
2019</t>
  </si>
  <si>
    <t>Thực hiện 2018</t>
  </si>
  <si>
    <t>BIỂU CHỈ TIÊU PHÁT TRIỂN NGÀNH THÔNG TIN VÀ TRUYỀN THÔNG TỈNH ĐIỆN BIÊN NĂM 2020</t>
  </si>
  <si>
    <t>Kế hoạch 2020 so với ước thực hiện 2019</t>
  </si>
  <si>
    <t>18=6/4</t>
  </si>
  <si>
    <t>Ước thực hiện 2019 so với thực hiện năm 2018</t>
  </si>
  <si>
    <t>19=7/6</t>
  </si>
  <si>
    <t>Dự án Quy hoạch xây dựng vùng tỉnh Điện Biên đến năm 2035, tầm nhìn đến năm 2050</t>
  </si>
  <si>
    <t>Dự án Điều chỉnh quy hoạch chung xây dựng đô thị huyện lỵ huyện Mường Nhé đến năm 2025, định hướng phát triển đến năm 2035</t>
  </si>
  <si>
    <t>Chính phủ</t>
  </si>
  <si>
    <t>2017-2019</t>
  </si>
  <si>
    <t>UBND tỉnh</t>
  </si>
  <si>
    <t>2018-2019</t>
  </si>
  <si>
    <t>Quy hoạch chi tiết xây dựng tỷ lệ 1/500 cụm công nghiệp hỗn hợp xã Ẳng Tở huyện Mường Ảng tỉnh Điện Biên</t>
  </si>
  <si>
    <t>Dự án cắm mốc giới theo Quy hoạch chi tiết khu vực dọc trục đường Võ Nguyên Giáp đến sông Nậm Rốm thuộc phường Nam Thanh - TP Điện Biên Phủ và khu vực phía Tây sông Nậm Rốm thuộc xã Thanh Hưng huyện Điện Biên</t>
  </si>
  <si>
    <t>Dự án Quy hoạch phân khu tỷ lệ 1/5.000 khu vực phía Bắc thành phố Điện Biên Phủ gắn với quy hoạch Cảng hàng không Điện Biên</t>
  </si>
  <si>
    <t>2019-2020</t>
  </si>
  <si>
    <t>Điều chỉnh cục bộ QHCT Trung tâm hành chính chính trị tỉnh Điện Biên</t>
  </si>
  <si>
    <t>Dự án Quy hoạch Tỉnh Điện Biên giai đoạn đến năm 2030, tầm nhìn đến năm 2050.</t>
  </si>
  <si>
    <t>Thủ tướng chính phủ</t>
  </si>
  <si>
    <t>2019-2021</t>
  </si>
  <si>
    <t>1.008.699</t>
  </si>
  <si>
    <t>34.946</t>
  </si>
  <si>
    <t>35.264</t>
  </si>
  <si>
    <t>63,5</t>
  </si>
  <si>
    <t>Tổng số hợp tác xã</t>
  </si>
  <si>
    <t>+ Số xã phường có nhà văn hoá, thể thao</t>
  </si>
  <si>
    <t>Tỷ lệ Lao các thể mới được phát hiện trong năm</t>
  </si>
  <si>
    <t>Tỷ lệ mắc lao trong cộng đồng</t>
  </si>
  <si>
    <t>&lt;6</t>
  </si>
  <si>
    <t xml:space="preserve"> -</t>
  </si>
  <si>
    <t>≤ 5</t>
  </si>
  <si>
    <t>8,3</t>
  </si>
  <si>
    <t>11</t>
  </si>
  <si>
    <t>26,6</t>
  </si>
  <si>
    <t xml:space="preserve"> Số lượt khách đến tham quan 2 bảo tàng và các điểm di tích</t>
  </si>
  <si>
    <t>x</t>
  </si>
  <si>
    <t>Cung cấp nước, xử lý rác thải</t>
  </si>
  <si>
    <t>Dự án quy hoạch triển khai mới</t>
  </si>
  <si>
    <t>Trung tâm NN tư thục</t>
  </si>
  <si>
    <t>99,6</t>
  </si>
  <si>
    <t>99,3</t>
  </si>
  <si>
    <t>71,2</t>
  </si>
  <si>
    <t>49,1</t>
  </si>
  <si>
    <t xml:space="preserve">  Đàn lợn</t>
  </si>
  <si>
    <t>Tổng giá trị sản xuất 
(Theo giá so sánh 2010)</t>
  </si>
  <si>
    <t>130/145</t>
  </si>
  <si>
    <t>130/157</t>
  </si>
  <si>
    <t>130/162</t>
  </si>
  <si>
    <t>9/12</t>
  </si>
  <si>
    <t>3/4</t>
  </si>
  <si>
    <t>25/26</t>
  </si>
  <si>
    <t>19/27</t>
  </si>
  <si>
    <t>10/11</t>
  </si>
  <si>
    <t>12/20</t>
  </si>
  <si>
    <t>12/13</t>
  </si>
  <si>
    <t>11/12</t>
  </si>
  <si>
    <t>14/21</t>
  </si>
  <si>
    <t>15/16</t>
  </si>
  <si>
    <t>Tỷ lệ hộ nghèo</t>
  </si>
  <si>
    <t xml:space="preserve"> - Dược sỹ trung cấp</t>
  </si>
  <si>
    <t>- Dược sĩ chuyên khoa cấp I</t>
  </si>
  <si>
    <t>- Đại học điều dưỡng</t>
  </si>
  <si>
    <t>- Liên thông Đại học điều dưỡng</t>
  </si>
  <si>
    <t>- Liên thông lên Đại học Dược</t>
  </si>
  <si>
    <t>- Hộ sinh liên thông từ TC lên CĐ</t>
  </si>
  <si>
    <t>- Dược sỹ hệ vừa học vừa làm</t>
  </si>
  <si>
    <t>Liên thông trình độ trung cấp điều dưỡng (văn bằng 2)</t>
  </si>
  <si>
    <t>Đào tạo cho học sinh Lào:</t>
  </si>
  <si>
    <t xml:space="preserve"> Điều dưỡng cao đẳng </t>
  </si>
  <si>
    <t xml:space="preserve"> Y sĩ </t>
  </si>
  <si>
    <t xml:space="preserve"> Dược sĩ trung cấp</t>
  </si>
  <si>
    <t>Biểu 09</t>
  </si>
  <si>
    <t>BIỂU TỔNG HỢP TÌNH HÌNH THỰC HIỆN CÁC DỰ ÁN TRỌNG ĐIỂM</t>
  </si>
  <si>
    <t>DANH MỤC DỰ ÁN</t>
  </si>
  <si>
    <t>Dự án bổ sung đoạn tuyến từ Đường Võ Nguyên Giáp đến khu TĐC Noong Bua (Đường 60m) và Dự án Hạ tầng kỹ thuật khung</t>
  </si>
  <si>
    <t>Đề án sắp xếp, ổn định dân cư phát triển kinh tế - xã hội, đảm bảo quốc phòng - an ninh huyện Mường Nhé</t>
  </si>
  <si>
    <t>Chương trình mục tiêu Quốc gia Xây dựng Nông thôn mới</t>
  </si>
  <si>
    <t>Chương trình mục tiêu quốc gia giảm nghèo bền vững</t>
  </si>
  <si>
    <t>Đường Na Sang (Km146+200/QL.12) - TT xã Huổi Mí - Pú Xi - Nậm Mức (Km450/QL.6) - Km456/QL.6 - Thị trấn Tủa Chùa - Huổi Lóng, tỉnh Điện Biên (Phân đoạn TT. Tủa Chùa - Nậm Mức - Huổi Mí)</t>
  </si>
  <si>
    <t>Các dự án thực hiện theo hình thức PPP</t>
  </si>
  <si>
    <t>Dự án Đền thờ tưởng niệm các anh hùng liệt sỹ hy sinh tại Chiến dịch Điện Biên Phủ</t>
  </si>
  <si>
    <t>Triển khai thực hiện quy hoạch và xây dựng các điểm tái định dự án nâng cấp Cảng hàng không Điện Biên</t>
  </si>
  <si>
    <t>Chương trình phát triển đô thị vay vốn WB</t>
  </si>
  <si>
    <t xml:space="preserve">TÌNH HÌNH TRIỂN KHAI THỰC HIỆN </t>
  </si>
  <si>
    <t>Cơ bản hoàn thành việc thực hiện di chuyển và bố trí đất ở, đất sản xuất cho số hộ dân thuộc đối tượng di chuyển, sắp xếp ổn định đến các điểm bản thành lập mới. Hoàn thành việc sắp xếp, ổn định dân cư ở các điểm sắp xếp ổn tại chỗ và xen ghép (Đã thực hiện di chuyển, bố trí, sắp xếp ổn định cho 1.862 hộ/1.956 hộ, đạt 95% so với các phương án duyệt; bố trí sắp xếp, ổn định cho 100% số hộ ổn định tại chỗ). Tính đến năm 2019 Trung ương đã phân bổ có mục tiêu cho địa phương thực hiện Đề án 1.260 tỷ đồng (trong đó: Vốn đầu tư: 903 tỷ đồng, vốn sự nghiệp: 357 tỷ đồng). Tiếp tục đề nghị Thủ tướng Chính phủ bố trí bổ sung 500 tỷ đồng để thực hiện các nội dung đầu tư của Đề án nhưng chưa được chấp thuận nên đã ảnh hưởng đến tiến độ thực hiện các dự án đầu tư cơ sở hạ tầng, các điểm bố trí sắp xếp dân cư. Tiếp tục triển khai các chính sách hỗ trợ, để từng bước ổn định đời sống, sản xuất của người dân ở các bản thành lập mới; ổn định đời sống, thúc đẩy phát triển sản xuất ở các điểm bản xen ghép và ổn định tại chỗ.</t>
  </si>
  <si>
    <t>Thường xuyên chỉ đạo, đôn đốc các sở, ngành, địa phương có liên quan triển khai công tác quản lý quy hoạch và hoạt động xây dựng thuộc phạm vi quy hoạch Cảng hàng không. Tích cực làm việc, phối hợp với Bộ Giao thông vận tải trong việc giao cho ACV lập báo cáo nghiên cứu tiền khả khi và báo cáo Thủ tướng Chính phủ về phương án đầu tư Cải tạo, nâng cấp Cảng hàng không Điện Biên để đảm bảo các điều kiện triển khai xây dựng theo đúng quy hoạch được duyệt trong giai đoạn 2019 - 2021. Đã phê duyệt được 2 điểm tái định cư (Điểm TĐC số I và III), đang hoàn thiện thủ tục hồ sơ trình HĐND tỉnh phê duyệt điểm tái định cư C13 và C13 mở rộng.</t>
  </si>
  <si>
    <t>Đã được Ban Bí thư cho chủ trương (tại Văn bản số 9003-CV/VPTW ngày 09/3/2019), hiện tại đang tích cực phối hợp với Bộ Văn hóa, Thể thao và Du lịch để sớm thẩm định, trình Thủ tướng Chính phủ phê duyệt Báo cáo nghiên cứu tiền khả thi của dự án với tổng mức đầu tư là 115 tỷ đồng, sử dụng nguồn ngân sách địa phương và nguồn xã hội hóa.</t>
  </si>
  <si>
    <t>Đề án ổn định dân cư, phát triển kinh tế xã hội vùng tái định cư thủy điện Sơn La</t>
  </si>
  <si>
    <t>Ngay từ đầu năm UBND tỉnh đã ban hành và chỉ đạo các địa phương ban hành Kế hoạch giảm nghèo năm 2019, trong đó tiếp tục tập trung chú trọng triển khai các mô hình, dự án hỗ trợ phát triển sản xuất và các dự án đầu tư cơ sở hạ tầng thiết yếu phục vụ đời sống, sản xuất của người dân để thực hiện có hiệu quả các mục tiêu, chỉ tiêu giảm nghèo. Đến nay các dự án đầu tư cơ sở hạ tầng và các dự án hỗ trợ phát triển sản xuất đang được các địa phương và người dân tích cực triển khai thực hiện. Một số dự án thuộc Chương trình 30a mới được bổ sung năm 2019 đã hoàn thành các thủ tục phê duyệt đầu tư để triển khai thực hiện và bố trí vốn theo quy định. Ước giải ngân đến hết năm 2019 đạt  449,667 tỷ (đạt 95% kế hoạch vốn giao).</t>
  </si>
  <si>
    <t>- Thường xuyên kiểm tra đôn đốc và chỉ đạo UBND thành phố Điện Biên Phủ, Sở Tài nguyên và Môi trường, các ngành, đơn vị liên quan triển khai thực hiện các giải pháp để GPMB đảm bảo hoàn thành các điểm tái định cư (dự án Hạ tầng kỹ thuật khung) và thông tuyến đường 60m theo kế hoạch.
- Dự ước kết quả thực hiện đến hết năm 2019:
+ Dự án đường 60m: Công tác GPMB đạt 83,5% (158/211 hộ); giá trị khối lượng xây lắp đã thực hiện đạt 57% (104,8/183,8 tỷ); lũy kế vốn đã giải ngân thanh toán 160,688 tỷ. Chính phủ đã giao bổ sung cho Dự án di dân tái định cư thủy điện Sơn La 200 tỷ, UBND tỉnh sẽ phân bổ cho các dự án (trong đó có dự án đường 60m) để tiếp tục triển khai các hạng mục công việc còn lại.
+ Dự án Hạ tầng kỹ thuật khung: Đã thực hiện giải phóng mặt bằng được 305/339 hộ, diện tích giải phóng mặt bằng là 15,6/16,93 ha, đạt 92%; Thực hiện giá trị xây lắp đạt 33,400 tỷ đồng (trong đó hoàn thành điểm tái định cư Phiêng Bua; một phần điểm tái định cư số 3); Tổng giá trị đã giải ngân là 141,328 tỷ đồng/153,750 tỷ đồng số kinh phí được cấp đạt 91,9%. 
- Những tồn tại hạn chế đối với các dự án: Chưa hoàn thành dứt điểm công tác bồi thường GPMB (dự án đường 60m còn 17.403.5m2/105.582 m2 bằng 16,5% tổng diện tích phải GPMB; dự án Hạ tầng khung còn 31 hộ chưa đồng ý cho đo đạc, kiểm đếm lập phương án bồi thường, hỗ trợ; 45 hộ đã đo đạc, kiểm đếm chưa lập phương án bồi thường, hỗ trợ; 51 hộ đã phê duyệt phương án bồi thường, chưa nhận tiền, chưa bàn giao mặt bằng). Tiến độ triển khai thi công không đảm bảo theo kế hoạch (đường 60m chưa thông được tuyến; Dự án hạ tầng kỹ thuật khung các điểm TĐC chưa hoàn thành dứt điểm để thực hiện bố trí TĐC (cơ bản mới được điểm TĐC Phiêng Bua và điểm TĐC số 3). Nguyên nhân chủ yếu là do sự yếu kém của các Chủ đầu tư chưa quyết liệt trọng quá trình thực hiện công tác bồi thường GPMB và một phần do dự án chưa được Trung ương quan tâm bố trí vốn kịp thời để triển khai thực hiện theo tiến độ.</t>
  </si>
  <si>
    <t>Đề án đã được Thủ tướng Chính phủ phê duyệt với tổng vốn đầu tư 926 tỷ đồng và được chia thành 2 giai đoạn, trong đó: Giai đoạn 1 từ năm 2018-2020 với tổng kinh phí là 323 tỷ đồng; Giai đoạn 2021 – 2025 là 603 tỷ đồng. UBND tỉnh đã xây dựng Kế hoạch để triển khai giai đoạn 2018 - 2020 và tiếp tục kiến nghị Chính phủ, các bộ, ngành trung ương xem xét bố trí vốn cho tỉnh thực hiện các nội dung thuộc giai đoạn I của Đề án. Tuy nhiên Đề án vẫn chưa được triển khai thực hiện do chưa được bố trí vốn.</t>
  </si>
  <si>
    <t xml:space="preserve">Chỉ đạo các cấp, các ngành, các địa phương tổ chức thực hiện tổng kết 10 năm thực hiện Chương trình theo chỉ đạo của Trung ương và tiếp tục đầu tư hoàn thiện kết cấu hạ tầng thiết yếu cho các xã, nhất là các xã vùng ĐBKK từ nguồn vốn trực tiếp bố trí cho chương trình và các nguồn vốn lồng ghép khác; duy trì và nâng cao hiệu quả thực hiện các tiêu chí xây dựng nông thôn mới tại các xã đạt chuẩn; nâng tỷ lệ đạt các tiêu chí tại các xã khó khăn dưới 10 tiêu chí; chỉ đạo triển khai có hiệu quả Đề án chương trình mỗi xã một sản phẩm (Đề án OCOP). Dự ước đến hết năm 2019, toàn tỉnh có 30/116 xã đạt chuẩn và cơ bản đạt chuẩn nông thôn mới, tăng 8 xã so với năm 2018; 15 xã đạt từ 10-14 tiêu chí, 71 xã đạt từ 5-9 tiêu chí; số tiêu chí bình quân 11,2 tiêu chí/xã và 11 sản phẩm đạt tiêu chuân OCOP; Ước giải ngân đến hết năm 2019 đạt 227,668 tỷ (đạt 95% kế hoạch vốn giao). </t>
  </si>
  <si>
    <t>Chỉ đạo Chủ đầu tư chủ động phối hợp với các sở ngành, đơn vị có liên quan và UBND các huyện Mường Chà, Tủa Chùa thực hiện các giải pháp để đẩy nhanh tiến độ giải phóng mặt bằng của dự án bàn giao mặt bằng cho đơn vị thi công nhằm đẩy nhanh tiến độ triển khai thực hiện của dự án. Đến nay đã hoàn thành và phê duyệt phương án trồng rừng thay thế; cơ bản hoàn thành công tác giải phóng mặt bằng, lũy kế vốn đã giải ngân thanh toán 349,51 tỷ đồng (đạt 60,01% kế hoạch vốn giao). Dự kiến đến hết năm 2019 sẽ thi công hoàn thành 100% khối lượng nền đường; 50% khối lượng công trình thoát nước cũng như các công trình phòng hộ trên tuyến; tiếp tục tập kết nguyên vật liệu để thi công xây lắp phần mặt đường và các công trình phụ trợ khác trên tuyến theo tiến độ của dự án. Dự án tiếp tục được Trung ường bố trí 69 tỷ đồng từ nguồn vốn tiết kiệm 10%, hiện tại đang tích cức triển khai thực hiện công tác chuẩn bị đầu tư đoạn tuyến Huổi Lóng - Tủa Chùa.</t>
  </si>
  <si>
    <t>Tích cực kêu gọi, thu hút các thành phần kinh tế đầu tư các dự án theo hình thức đối tác công tư trên địa bàn tỉnh; tập trung chỉ đạo, đôn đốc các đơn vị hoàn thiện hồ sơ thủ tục triển khai các dự án PPP trên địa bàn, cụ thể:
- Dự án Khu tái định cư các hộ dân đường 15m từ cầu A1 xuống cầu C4 - thành phố Điện Biên Phủ: Đã hoàn thiện các hồ sơ thủ tục có liên quan và đang tổ chức thi công theo thiết kế bản vẽ thi công được duyệt.
- Dự án đầu tư xây dựng đường Thanh Minh - đồi Độc Lập và khu dân cư (đường vành đai phía bắc) thành phố Điện Biên Phủ, đã được phê duyệt thiết kế bản vẽ thi công và dự toán xây dựng công trình, đang tiến hành các bước tiếp theo để lựa chọn nhà đầu tư để thực hiện theo quy định.</t>
  </si>
  <si>
    <t>Đã thi công hoàn thành đưa vào khai thác sử dụng 4/9 hạng mục, 01 hạng mục cải tạo suối Hồng Lứu cơ bản hoàn thành và đưa vào khai thác sử dụng; toàn bộ công tác lựa chọn nhà thầu đã được hoàn thành. Hiện tại chủ đầu tư đang tập trung cho công tác bồi thường giải phóng mặt bằng, hỗ trợ tái định cư (ước hoàn thành 75%) và thi công xây dựng các hạng mục đầu tư xây dựng (ước hoàn thành 70%). UBND tỉnh thường xuyên tổ chức làm việc với UBND thành phố Điện Biên Phủ, các ngành, đơn vị liên quan để kiểm tra đôn đốc và chỉ đạo các đơn vị tháo gỡ khó khăn vướng mắc, tập trung thi công đẩy nhanh tiến độ triển khai thực hiện dự án đảm bảo theo cam kết với Nhà tài trợ.</t>
  </si>
  <si>
    <t>(Kèm theo Báo cáo số         /BC-UBND ngày      /12/2019 của UBND tỉnh Điện Biên)</t>
  </si>
  <si>
    <t>(Kèm theo Báo cáo số 357/BC-UBND ngày 02 /12/2019 của UBND tỉnh Điện Biên)</t>
  </si>
  <si>
    <t>(Kèm theo Báo cáo số   357  /BC-UBND ngày  02 /12/2019 của UBND tỉnh Điện Biên)</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</si>
</sst>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numFmt numFmtId="173" formatCode="_-&quot;€&quot;* #,##0.00_-;\-&quot;€&quot;* #,##0.00_-;_-&quot;€&quot;* &quot;-&quot;??_-;_-@_-"/>
    <numFmt numFmtId="174" formatCode="&quot;\&quot;#,##0;[Red]&quot;\&quot;\-#,##0"/>
    <numFmt numFmtId="175" formatCode="&quot;\&quot;#,##0.00;[Red]&quot;\&quot;&quot;\&quot;&quot;\&quot;&quot;\&quot;&quot;\&quot;&quot;\&quot;\-#,##0.00"/>
    <numFmt numFmtId="176" formatCode="#,##0.0"/>
    <numFmt numFmtId="177" formatCode="&quot;\&quot;#,##0;[Red]&quot;\&quot;&quot;\&quot;\-#,##0"/>
    <numFmt numFmtId="178" formatCode="#,##0\ &quot;€&quot;;[Red]\-#,##0\ &quot;€&quot;"/>
    <numFmt numFmtId="179" formatCode="_(* #,##0.0_);_(* \(#,##0.0\);_(* &quot;-&quot;??_);_(@_)"/>
    <numFmt numFmtId="180" formatCode="#,##0\ &quot;þ&quot;;[Red]\-#,##0\ &quot;þ&quot;"/>
    <numFmt numFmtId="181" formatCode="_-* #,##0_-;\-* #,##0_-;_-* &quot;-&quot;_-;_-@_-"/>
    <numFmt numFmtId="182" formatCode="_(* #,##0_);_(* \(#,##0\);_(* &quot;-&quot;??_);_(@_)"/>
    <numFmt numFmtId="183" formatCode="_-&quot;€&quot;* #,##0_-;\-&quot;€&quot;* #,##0_-;_-&quot;€&quot;* &quot;-&quot;_-;_-@_-"/>
    <numFmt numFmtId="184" formatCode="&quot;VND&quot;#,##0_);[Red]\(&quot;VND&quot;#,##0\)"/>
    <numFmt numFmtId="185" formatCode="_-* #,##0.00_-;\-* #,##0.00_-;_-* &quot;-&quot;??_-;_-@_-"/>
    <numFmt numFmtId="186" formatCode="_-* #,##0.00\ _V_N_D_-;\-* #,##0.00\ _V_N_D_-;_-* &quot;-&quot;??\ _V_N_D_-;_-@_-"/>
    <numFmt numFmtId="187" formatCode="&quot;\&quot;#,##0.00;[Red]&quot;\&quot;\-#,##0.00"/>
    <numFmt numFmtId="188" formatCode="0.0"/>
    <numFmt numFmtId="189" formatCode="#,##0.000"/>
    <numFmt numFmtId="190" formatCode="0.000"/>
    <numFmt numFmtId="191" formatCode="_-* #,##0\ _₫_-;\-* #,##0\ _₫_-;_-* &quot;-&quot;??\ _₫_-;_-@_-"/>
    <numFmt numFmtId="192" formatCode="0.0%"/>
    <numFmt numFmtId="193" formatCode="_-* #,##0.0\ _₫_-;\-* #,##0.0\ _₫_-;_-* &quot;-&quot;?\ _₫_-;_-@_-"/>
    <numFmt numFmtId="194" formatCode="#,##0.00000"/>
    <numFmt numFmtId="195" formatCode="_-* #,##0.0\ _₫_-;\-* #,##0.0\ _₫_-;_-* &quot;-&quot;??\ _₫_-;_-@_-"/>
    <numFmt numFmtId="196" formatCode="#,##0.000000"/>
    <numFmt numFmtId="197" formatCode="_-* #,##0.00\ _€_-;\-* #,##0.00\ _€_-;_-* &quot;-&quot;??\ _€_-;_-@_-"/>
    <numFmt numFmtId="198" formatCode="_-* #,##0\ _₫_-;\-* #,##0\ _₫_-;_-* &quot;-&quot;?\ _₫_-;_-@_-"/>
    <numFmt numFmtId="199" formatCode="#,##0_ ;\-#,##0\ "/>
    <numFmt numFmtId="200" formatCode="_-* #,##0.00\ _₫_-;\-* #,##0.00\ _₫_-;_-* &quot;-&quot;??.0\ _₫_-;_-@_-"/>
    <numFmt numFmtId="201" formatCode="_-* #,##0.000\ _₫_-;\-* #,##0.000\ _₫_-;_-* &quot;-&quot;??\ _₫_-;_-@_-"/>
    <numFmt numFmtId="202" formatCode="_(* #,##0.0_);_(* \(#,##0.0\);_(* &quot;-&quot;?_);_(@_)"/>
    <numFmt numFmtId="203" formatCode="0.0;[Red]0.0"/>
    <numFmt numFmtId="204" formatCode="0.00;[Red]0.00"/>
    <numFmt numFmtId="205" formatCode="0;[Red]0"/>
    <numFmt numFmtId="206" formatCode="_-&quot;$&quot;* #,##0_-;\-&quot;$&quot;* #,##0_-;_-&quot;$&quot;* &quot;-&quot;_-;_-@_-"/>
    <numFmt numFmtId="207" formatCode="0&quot;.&quot;000%"/>
    <numFmt numFmtId="208" formatCode="###,0&quot;.&quot;00\ &quot;F&quot;;[Red]\-###,0&quot;.&quot;00\ &quot;F&quot;"/>
    <numFmt numFmtId="209" formatCode="_-* #,##0\ _V_N_D_-;\-* #,##0\ _V_N_D_-;_-* &quot;-&quot;\ _V_N_D_-;_-@_-"/>
    <numFmt numFmtId="210" formatCode="&quot;SFr.&quot;\ #,##0.00;[Red]&quot;SFr.&quot;\ \-#,##0.00"/>
    <numFmt numFmtId="211" formatCode="_ &quot;SFr.&quot;\ * #,##0_ ;_ &quot;SFr.&quot;\ * \-#,##0_ ;_ &quot;SFr.&quot;\ * &quot;-&quot;_ ;_ @_ "/>
    <numFmt numFmtId="212" formatCode="_ * #,##0_ ;_ * \-#,##0_ ;_ * &quot;-&quot;_ ;_ @_ "/>
    <numFmt numFmtId="213" formatCode="_ * #,##0.00_ ;_ * \-#,##0.00_ ;_ * &quot;-&quot;??_ ;_ @_ "/>
    <numFmt numFmtId="214" formatCode="_-* #,##0.00\ &quot;F&quot;_-;\-* #,##0.00\ &quot;F&quot;_-;_-* &quot;-&quot;??\ &quot;F&quot;_-;_-@_-"/>
    <numFmt numFmtId="215" formatCode="#,##0;\(#,##0\)"/>
    <numFmt numFmtId="216" formatCode="\t0.00%"/>
    <numFmt numFmtId="217" formatCode="\t#\ ??/??"/>
    <numFmt numFmtId="218" formatCode="m/d"/>
    <numFmt numFmtId="219" formatCode="&quot;ß&quot;#,##0;\-&quot;&quot;\ß&quot;&quot;#,##0"/>
    <numFmt numFmtId="220" formatCode="_###,###,###"/>
    <numFmt numFmtId="221" formatCode="_(* #,##0_);_(* \(#,##0\);_(* \-??_);_(@_)"/>
    <numFmt numFmtId="222" formatCode="_(* #,##0.0_);_(* \(#,##0.0\);_(* \-??_);_(@_)"/>
    <numFmt numFmtId="223" formatCode="_(* #,##0.00_);_(* \(#,##0.00\);_(* \-??_);_(@_)"/>
    <numFmt numFmtId="224" formatCode="#,##0.0000000"/>
  </numFmts>
  <fonts count="169">
    <font>
      <sz val="12"/>
      <name val="Times New Roman"/>
      <family val="0"/>
    </font>
    <font>
      <sz val="11"/>
      <color indexed="8"/>
      <name val="Arial"/>
      <family val="2"/>
    </font>
    <font>
      <b/>
      <sz val="14"/>
      <name val="Times New Roman"/>
      <family val="1"/>
    </font>
    <font>
      <b/>
      <sz val="13"/>
      <name val="Times New Roman"/>
      <family val="1"/>
    </font>
    <font>
      <i/>
      <sz val="12"/>
      <name val="Times New Roman"/>
      <family val="1"/>
    </font>
    <font>
      <b/>
      <sz val="12"/>
      <name val="Times New Roman"/>
      <family val="1"/>
    </font>
    <font>
      <sz val="14"/>
      <name val="Times New Roman"/>
      <family val="1"/>
    </font>
    <font>
      <b/>
      <i/>
      <sz val="14"/>
      <name val="Times New Roman"/>
      <family val="1"/>
    </font>
    <font>
      <b/>
      <i/>
      <sz val="12"/>
      <name val="Times New Roman"/>
      <family val="1"/>
    </font>
    <font>
      <sz val="12"/>
      <color indexed="9"/>
      <name val="Times New Roman"/>
      <family val="1"/>
    </font>
    <font>
      <sz val="8"/>
      <name val="Times New Roman"/>
      <family val="1"/>
    </font>
    <font>
      <b/>
      <sz val="10"/>
      <name val="Times New Roman"/>
      <family val="1"/>
    </font>
    <font>
      <sz val="10"/>
      <name val="Times New Roman"/>
      <family val="1"/>
    </font>
    <font>
      <sz val="16"/>
      <name val="Times New Roman"/>
      <family val="1"/>
    </font>
    <font>
      <b/>
      <i/>
      <sz val="16"/>
      <name val="Times New Roman"/>
      <family val="1"/>
    </font>
    <font>
      <i/>
      <sz val="14"/>
      <name val="Times New Roman"/>
      <family val="1"/>
    </font>
    <font>
      <sz val="14"/>
      <color indexed="9"/>
      <name val="Times New Roman"/>
      <family val="1"/>
    </font>
    <font>
      <sz val="18"/>
      <name val="Times New Roman"/>
      <family val="1"/>
    </font>
    <font>
      <b/>
      <sz val="16"/>
      <name val="Times New Roman"/>
      <family val="1"/>
    </font>
    <font>
      <b/>
      <sz val="22"/>
      <name val="Times New Roman"/>
      <family val="1"/>
    </font>
    <font>
      <sz val="14"/>
      <color indexed="8"/>
      <name val="Calibri"/>
      <family val="2"/>
    </font>
    <font>
      <b/>
      <sz val="18"/>
      <name val="Times New Roman"/>
      <family val="1"/>
    </font>
    <font>
      <i/>
      <sz val="15"/>
      <name val="Times New Roman"/>
      <family val="1"/>
    </font>
    <font>
      <sz val="15"/>
      <name val="Times New Roman"/>
      <family val="1"/>
    </font>
    <font>
      <b/>
      <sz val="11"/>
      <name val="Arial"/>
      <family val="2"/>
    </font>
    <font>
      <sz val="10"/>
      <name val="Arial"/>
      <family val="2"/>
    </font>
    <font>
      <b/>
      <sz val="10"/>
      <name val="Arial"/>
      <family val="2"/>
    </font>
    <font>
      <b/>
      <u val="single"/>
      <sz val="10"/>
      <name val="Arial"/>
      <family val="2"/>
    </font>
    <font>
      <sz val="12"/>
      <name val=".VnTime"/>
      <family val="2"/>
    </font>
    <font>
      <b/>
      <sz val="12"/>
      <name val=".VnTime"/>
      <family val="2"/>
    </font>
    <font>
      <b/>
      <sz val="15"/>
      <name val="Times New Roman"/>
      <family val="1"/>
    </font>
    <font>
      <sz val="9"/>
      <name val="Arial"/>
      <family val="2"/>
    </font>
    <font>
      <sz val="14"/>
      <name val="뼻뮝"/>
      <family val="0"/>
    </font>
    <font>
      <sz val="12"/>
      <name val="¹UAAA¼"/>
      <family val="0"/>
    </font>
    <font>
      <sz val="12"/>
      <name val="Courier"/>
      <family val="3"/>
    </font>
    <font>
      <b/>
      <sz val="12"/>
      <name val="Arial"/>
      <family val="2"/>
    </font>
    <font>
      <sz val="12"/>
      <name val="뼻뮝"/>
      <family val="0"/>
    </font>
    <font>
      <sz val="10"/>
      <name val="VNtimes new roman"/>
      <family val="2"/>
    </font>
    <font>
      <sz val="12"/>
      <name val="바탕체"/>
      <family val="0"/>
    </font>
    <font>
      <sz val="10"/>
      <name val=" "/>
      <family val="0"/>
    </font>
    <font>
      <b/>
      <sz val="11"/>
      <name val=".VnTimeH"/>
      <family val="2"/>
    </font>
    <font>
      <i/>
      <sz val="10"/>
      <name val=".VnTime"/>
      <family val="2"/>
    </font>
    <font>
      <sz val="14"/>
      <name val=".VnTimeH"/>
      <family val="2"/>
    </font>
    <font>
      <b/>
      <sz val="10"/>
      <name val=".VnTimeH"/>
      <family val="2"/>
    </font>
    <font>
      <sz val="10"/>
      <name val="굴림체"/>
      <family val="0"/>
    </font>
    <font>
      <sz val="14"/>
      <name val=".VnArial"/>
      <family val="2"/>
    </font>
    <font>
      <b/>
      <sz val="10"/>
      <name val=".VnTime"/>
      <family val="2"/>
    </font>
    <font>
      <b/>
      <sz val="10"/>
      <name val=".VnArial"/>
      <family val="2"/>
    </font>
    <font>
      <sz val="12"/>
      <name val="Arial"/>
      <family val="2"/>
    </font>
    <font>
      <sz val="13"/>
      <name val="Times New Roman"/>
      <family val="1"/>
    </font>
    <font>
      <sz val="11"/>
      <name val="Times New Roman"/>
      <family val="1"/>
    </font>
    <font>
      <i/>
      <sz val="10"/>
      <name val="Times New Roman"/>
      <family val="1"/>
    </font>
    <font>
      <sz val="12"/>
      <color indexed="8"/>
      <name val="Times New Roman"/>
      <family val="2"/>
    </font>
    <font>
      <b/>
      <sz val="11"/>
      <name val="Times New Roman"/>
      <family val="1"/>
    </font>
    <font>
      <sz val="9"/>
      <name val="Times New Roman"/>
      <family val="1"/>
    </font>
    <font>
      <sz val="11"/>
      <color indexed="8"/>
      <name val="Calibri"/>
      <family val="2"/>
    </font>
    <font>
      <i/>
      <sz val="13"/>
      <name val="Times New Roman"/>
      <family val="1"/>
    </font>
    <font>
      <b/>
      <sz val="9"/>
      <name val="Times New Roman"/>
      <family val="1"/>
    </font>
    <font>
      <i/>
      <sz val="11"/>
      <name val="Times New Roman"/>
      <family val="1"/>
    </font>
    <font>
      <b/>
      <u val="single"/>
      <sz val="10"/>
      <name val="Times New Roman"/>
      <family val="1"/>
    </font>
    <font>
      <u val="single"/>
      <sz val="10"/>
      <name val="Times New Roman"/>
      <family val="1"/>
    </font>
    <font>
      <b/>
      <i/>
      <sz val="13"/>
      <name val="Times New Roman"/>
      <family val="1"/>
    </font>
    <font>
      <b/>
      <i/>
      <sz val="10"/>
      <name val="Times New Roman"/>
      <family val="1"/>
    </font>
    <font>
      <sz val="10"/>
      <color indexed="10"/>
      <name val="Times New Roman"/>
      <family val="1"/>
    </font>
    <font>
      <sz val="13"/>
      <color indexed="10"/>
      <name val="Times New Roman"/>
      <family val="1"/>
    </font>
    <font>
      <sz val="12"/>
      <color indexed="10"/>
      <name val="Times New Roman"/>
      <family val="1"/>
    </font>
    <font>
      <sz val="9"/>
      <color indexed="10"/>
      <name val="Times New Roman"/>
      <family val="1"/>
    </font>
    <font>
      <sz val="11"/>
      <name val=".VnTime"/>
      <family val="2"/>
    </font>
    <font>
      <b/>
      <u val="single"/>
      <sz val="11"/>
      <name val="Times New Roman"/>
      <family val="1"/>
    </font>
    <font>
      <i/>
      <sz val="12"/>
      <name val="Calibri"/>
      <family val="2"/>
    </font>
    <font>
      <sz val="9"/>
      <name val="Calibri"/>
      <family val="2"/>
    </font>
    <font>
      <b/>
      <i/>
      <sz val="11"/>
      <name val="Times New Roman"/>
      <family val="1"/>
    </font>
    <font>
      <sz val="10"/>
      <color indexed="8"/>
      <name val="MS Sans Serif"/>
      <family val="2"/>
    </font>
    <font>
      <sz val="10"/>
      <name val=".VnTime"/>
      <family val="2"/>
    </font>
    <font>
      <sz val="12"/>
      <name val="VNI-Times"/>
      <family val="0"/>
    </font>
    <font>
      <sz val="11"/>
      <name val="??"/>
      <family val="3"/>
    </font>
    <font>
      <sz val="14"/>
      <name val="??"/>
      <family val="3"/>
    </font>
    <font>
      <sz val="12"/>
      <name val="????"/>
      <family val="0"/>
    </font>
    <font>
      <sz val="12"/>
      <name val="???"/>
      <family val="3"/>
    </font>
    <font>
      <sz val="10"/>
      <name val="???"/>
      <family val="3"/>
    </font>
    <font>
      <sz val="10"/>
      <name val="VNI-Times"/>
      <family val="0"/>
    </font>
    <font>
      <sz val="12"/>
      <color indexed="8"/>
      <name val="¹ÙÅÁÃ¼"/>
      <family val="1"/>
    </font>
    <font>
      <sz val="12"/>
      <name val="¹ÙÅÁÃ¼"/>
      <family val="0"/>
    </font>
    <font>
      <b/>
      <sz val="10"/>
      <name val="Helv"/>
      <family val="0"/>
    </font>
    <font>
      <b/>
      <sz val="12"/>
      <name val="VNTime"/>
      <family val="2"/>
    </font>
    <font>
      <b/>
      <sz val="12"/>
      <name val="VNTimeH"/>
      <family val="2"/>
    </font>
    <font>
      <sz val="12"/>
      <name val="VNTime"/>
      <family val="2"/>
    </font>
    <font>
      <sz val="8"/>
      <name val="Arial"/>
      <family val="2"/>
    </font>
    <font>
      <b/>
      <sz val="12"/>
      <name val="Helv"/>
      <family val="0"/>
    </font>
    <font>
      <b/>
      <sz val="18"/>
      <name val="Arial"/>
      <family val="2"/>
    </font>
    <font>
      <b/>
      <sz val="11"/>
      <name val="Helv"/>
      <family val="0"/>
    </font>
    <font>
      <sz val="7"/>
      <name val="Small Fonts"/>
      <family val="2"/>
    </font>
    <font>
      <b/>
      <sz val="12"/>
      <name val=".VnArial Narrow"/>
      <family val="2"/>
    </font>
    <font>
      <sz val="13"/>
      <name val=".VnArialH"/>
      <family val="2"/>
    </font>
    <font>
      <i/>
      <sz val="11"/>
      <name val=".VnTime"/>
      <family val="2"/>
    </font>
    <font>
      <i/>
      <sz val="12"/>
      <name val=".VnArial Narrow"/>
      <family val="2"/>
    </font>
    <font>
      <b/>
      <sz val="8"/>
      <name val=".VnTime"/>
      <family val="2"/>
    </font>
    <font>
      <sz val="10"/>
      <name val=".VnArial"/>
      <family val="2"/>
    </font>
    <font>
      <sz val="11"/>
      <name val=".VnArial Narrow"/>
      <family val="2"/>
    </font>
    <font>
      <sz val="14"/>
      <name val=".Vn3DH"/>
      <family val="2"/>
    </font>
    <font>
      <b/>
      <sz val="9.5"/>
      <name val="Times New Roman"/>
      <family val="1"/>
    </font>
    <font>
      <sz val="13"/>
      <name val=".VnTime"/>
      <family val="2"/>
    </font>
    <font>
      <sz val="11.5"/>
      <name val="Times New Roman"/>
      <family val="1"/>
    </font>
    <font>
      <i/>
      <sz val="10"/>
      <name val="Arial Narrow"/>
      <family val="2"/>
    </font>
    <font>
      <sz val="9"/>
      <name val="Tahoma"/>
      <family val="2"/>
    </font>
    <font>
      <b/>
      <sz val="9"/>
      <name val="Tahoma"/>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Times New Roman"/>
      <family val="2"/>
    </font>
    <font>
      <b/>
      <sz val="11"/>
      <color indexed="8"/>
      <name val="Arial"/>
      <family val="2"/>
    </font>
    <font>
      <sz val="11"/>
      <color indexed="10"/>
      <name val="Arial"/>
      <family val="2"/>
    </font>
    <font>
      <sz val="10"/>
      <color indexed="17"/>
      <name val="Times New Roman"/>
      <family val="1"/>
    </font>
    <font>
      <b/>
      <sz val="10"/>
      <color indexed="17"/>
      <name val="Times New Roman"/>
      <family val="1"/>
    </font>
    <font>
      <b/>
      <i/>
      <sz val="10"/>
      <color indexed="17"/>
      <name val="Times New Roman"/>
      <family val="1"/>
    </font>
    <font>
      <sz val="9"/>
      <color indexed="17"/>
      <name val="Times New Roman"/>
      <family val="1"/>
    </font>
    <font>
      <sz val="12"/>
      <color indexed="63"/>
      <name val="Arial"/>
      <family val="2"/>
    </font>
    <font>
      <b/>
      <sz val="12"/>
      <color indexed="12"/>
      <name val="Times New Roman"/>
      <family val="1"/>
    </font>
    <font>
      <i/>
      <sz val="12"/>
      <color indexed="12"/>
      <name val="Times New Roman"/>
      <family val="1"/>
    </font>
    <font>
      <b/>
      <sz val="12"/>
      <color indexed="10"/>
      <name val="Times New Roman"/>
      <family val="1"/>
    </font>
    <font>
      <i/>
      <sz val="12"/>
      <color indexed="10"/>
      <name val="Times New Roman"/>
      <family val="1"/>
    </font>
    <font>
      <sz val="11"/>
      <color indexed="10"/>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sz val="12"/>
      <color theme="1"/>
      <name val="Times New Roman"/>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B050"/>
      <name val="Times New Roman"/>
      <family val="1"/>
    </font>
    <font>
      <b/>
      <sz val="10"/>
      <color rgb="FF00B050"/>
      <name val="Times New Roman"/>
      <family val="1"/>
    </font>
    <font>
      <b/>
      <i/>
      <sz val="10"/>
      <color rgb="FF00B050"/>
      <name val="Times New Roman"/>
      <family val="1"/>
    </font>
    <font>
      <sz val="9"/>
      <color rgb="FF00B050"/>
      <name val="Times New Roman"/>
      <family val="1"/>
    </font>
    <font>
      <sz val="12"/>
      <color rgb="FF222222"/>
      <name val="Arial"/>
      <family val="2"/>
    </font>
    <font>
      <sz val="10"/>
      <name val="Cambria"/>
      <family val="1"/>
    </font>
    <font>
      <b/>
      <sz val="10"/>
      <name val="Cambria"/>
      <family val="1"/>
    </font>
    <font>
      <b/>
      <sz val="12"/>
      <color rgb="FF0000FF"/>
      <name val="Times New Roman"/>
      <family val="1"/>
    </font>
    <font>
      <i/>
      <sz val="12"/>
      <color rgb="FF0000FF"/>
      <name val="Times New Roman"/>
      <family val="1"/>
    </font>
    <font>
      <sz val="10"/>
      <color rgb="FFFF0000"/>
      <name val="Times New Roman"/>
      <family val="1"/>
    </font>
    <font>
      <b/>
      <sz val="12"/>
      <color rgb="FFFF0000"/>
      <name val="Times New Roman"/>
      <family val="1"/>
    </font>
    <font>
      <sz val="12"/>
      <color rgb="FFFF0000"/>
      <name val="Times New Roman"/>
      <family val="1"/>
    </font>
    <font>
      <i/>
      <sz val="12"/>
      <color rgb="FFFF0000"/>
      <name val="Times New Roman"/>
      <family val="1"/>
    </font>
    <font>
      <sz val="11"/>
      <color rgb="FFFF0000"/>
      <name val="Times New Roman"/>
      <family val="1"/>
    </font>
    <font>
      <sz val="9"/>
      <color rgb="FFFF0000"/>
      <name val="Times New Roman"/>
      <family val="1"/>
    </font>
    <font>
      <b/>
      <sz val="10"/>
      <color rgb="FFFF0000"/>
      <name val="Times New Roman"/>
      <family val="1"/>
    </font>
    <font>
      <b/>
      <sz val="8"/>
      <name val="Times New Roman"/>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9">
    <border>
      <left/>
      <right/>
      <top/>
      <bottom/>
      <diagonal/>
    </border>
    <border>
      <left/>
      <right/>
      <top/>
      <bottom style="thin"/>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right style="thin"/>
      <top/>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color indexed="63"/>
      </left>
      <right>
        <color indexed="63"/>
      </right>
      <top>
        <color indexed="63"/>
      </top>
      <bottom style="double">
        <color rgb="FFFF8001"/>
      </bottom>
    </border>
    <border>
      <left/>
      <right/>
      <top/>
      <bottom style="mediu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top/>
      <bottom/>
    </border>
    <border>
      <left style="thin"/>
      <right style="thin"/>
      <top style="hair"/>
      <bottom style="hair"/>
    </border>
    <border>
      <left>
        <color indexed="63"/>
      </left>
      <right>
        <color indexed="63"/>
      </right>
      <top style="thin">
        <color theme="4"/>
      </top>
      <bottom style="double">
        <color theme="4"/>
      </bottom>
    </border>
    <border>
      <left style="thin"/>
      <right style="thin"/>
      <top/>
      <bottom style="hair"/>
    </border>
    <border>
      <left style="thin"/>
      <right/>
      <top style="hair"/>
      <bottom style="hair"/>
    </border>
    <border>
      <left style="thin"/>
      <right style="thin"/>
      <top style="hair"/>
      <bottom style="thin"/>
    </border>
    <border>
      <left style="thin"/>
      <right style="thin"/>
      <top style="thin"/>
      <bottom style="double"/>
    </border>
    <border>
      <left style="thin"/>
      <right style="thin"/>
      <top style="thin"/>
      <bottom/>
    </border>
    <border>
      <left style="thin"/>
      <right style="thin"/>
      <top style="thin"/>
      <bottom style="hair"/>
    </border>
    <border>
      <left/>
      <right style="thin"/>
      <top/>
      <bottom style="hair"/>
    </border>
    <border>
      <left style="thin"/>
      <right style="thin"/>
      <top/>
      <bottom style="thin"/>
    </border>
    <border>
      <left/>
      <right style="thin"/>
      <top style="thin"/>
      <bottom/>
    </border>
    <border>
      <left style="thin"/>
      <right style="thin"/>
      <top style="hair"/>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right style="thin">
        <color indexed="8"/>
      </right>
      <top style="thin">
        <color indexed="8"/>
      </top>
      <bottom style="thin">
        <color indexed="8"/>
      </bottom>
    </border>
    <border>
      <left style="thin">
        <color indexed="8"/>
      </left>
      <right style="thin">
        <color indexed="8"/>
      </right>
      <top/>
      <bottom/>
    </border>
    <border>
      <left style="thin">
        <color indexed="8"/>
      </left>
      <right style="thin">
        <color indexed="8"/>
      </right>
      <top/>
      <bottom style="thin">
        <color indexed="8"/>
      </bottom>
    </border>
    <border>
      <left style="thin"/>
      <right/>
      <top style="thin"/>
      <bottom style="thin"/>
    </border>
    <border>
      <left/>
      <right style="thin"/>
      <top style="thin"/>
      <bottom style="thin"/>
    </border>
    <border>
      <left style="thin"/>
      <right/>
      <top style="thin"/>
      <bottom/>
    </border>
    <border>
      <left/>
      <right/>
      <top style="thin"/>
      <bottom/>
    </border>
    <border>
      <left style="thin"/>
      <right/>
      <top/>
      <bottom style="thin"/>
    </border>
    <border>
      <left/>
      <right style="thin"/>
      <top/>
      <bottom style="thin"/>
    </border>
  </borders>
  <cellStyleXfs count="35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206" fontId="74" fillId="0" borderId="0" applyFont="0" applyFill="0" applyBorder="0" applyAlignment="0" applyProtection="0"/>
    <xf numFmtId="0" fontId="28" fillId="0" borderId="0">
      <alignment/>
      <protection/>
    </xf>
    <xf numFmtId="0" fontId="72" fillId="0" borderId="0">
      <alignment/>
      <protection/>
    </xf>
    <xf numFmtId="207" fontId="75" fillId="0" borderId="0" applyFont="0" applyFill="0" applyBorder="0" applyAlignment="0" applyProtection="0"/>
    <xf numFmtId="0" fontId="76" fillId="0" borderId="0" applyFont="0" applyFill="0" applyBorder="0" applyAlignment="0" applyProtection="0"/>
    <xf numFmtId="208" fontId="25" fillId="0" borderId="0" applyFont="0" applyFill="0" applyBorder="0" applyAlignment="0" applyProtection="0"/>
    <xf numFmtId="40" fontId="76" fillId="0" borderId="0" applyFont="0" applyFill="0" applyBorder="0" applyAlignment="0" applyProtection="0"/>
    <xf numFmtId="38" fontId="76" fillId="0" borderId="0" applyFont="0" applyFill="0" applyBorder="0" applyAlignment="0" applyProtection="0"/>
    <xf numFmtId="181" fontId="77" fillId="0" borderId="0" applyFont="0" applyFill="0" applyBorder="0" applyAlignment="0" applyProtection="0"/>
    <xf numFmtId="9" fontId="78" fillId="0" borderId="0" applyFont="0" applyFill="0" applyBorder="0" applyAlignment="0" applyProtection="0"/>
    <xf numFmtId="0" fontId="79" fillId="0" borderId="0">
      <alignment/>
      <protection/>
    </xf>
    <xf numFmtId="168" fontId="80" fillId="0" borderId="0" applyFont="0" applyFill="0" applyBorder="0" applyAlignment="0" applyProtection="0"/>
    <xf numFmtId="206" fontId="74" fillId="0" borderId="0" applyFont="0" applyFill="0" applyBorder="0" applyAlignment="0" applyProtection="0"/>
    <xf numFmtId="185" fontId="74" fillId="0" borderId="0" applyFont="0" applyFill="0" applyBorder="0" applyAlignment="0" applyProtection="0"/>
    <xf numFmtId="186" fontId="80" fillId="0" borderId="0" applyFont="0" applyFill="0" applyBorder="0" applyAlignment="0" applyProtection="0"/>
    <xf numFmtId="181" fontId="74" fillId="0" borderId="0" applyFont="0" applyFill="0" applyBorder="0" applyAlignment="0" applyProtection="0"/>
    <xf numFmtId="168" fontId="80" fillId="0" borderId="0" applyFont="0" applyFill="0" applyBorder="0" applyAlignment="0" applyProtection="0"/>
    <xf numFmtId="186" fontId="80" fillId="0" borderId="0" applyFont="0" applyFill="0" applyBorder="0" applyAlignment="0" applyProtection="0"/>
    <xf numFmtId="185" fontId="74" fillId="0" borderId="0" applyFont="0" applyFill="0" applyBorder="0" applyAlignment="0" applyProtection="0"/>
    <xf numFmtId="209" fontId="80" fillId="0" borderId="0" applyFont="0" applyFill="0" applyBorder="0" applyAlignment="0" applyProtection="0"/>
    <xf numFmtId="181" fontId="74" fillId="0" borderId="0" applyFont="0" applyFill="0" applyBorder="0" applyAlignment="0" applyProtection="0"/>
    <xf numFmtId="185" fontId="74" fillId="0" borderId="0" applyFont="0" applyFill="0" applyBorder="0" applyAlignment="0" applyProtection="0"/>
    <xf numFmtId="209" fontId="80" fillId="0" borderId="0" applyFont="0" applyFill="0" applyBorder="0" applyAlignment="0" applyProtection="0"/>
    <xf numFmtId="186" fontId="80" fillId="0" borderId="0" applyFont="0" applyFill="0" applyBorder="0" applyAlignment="0" applyProtection="0"/>
    <xf numFmtId="181" fontId="74" fillId="0" borderId="0" applyFont="0" applyFill="0" applyBorder="0" applyAlignment="0" applyProtection="0"/>
    <xf numFmtId="206" fontId="74" fillId="0" borderId="0" applyFont="0" applyFill="0" applyBorder="0" applyAlignment="0" applyProtection="0"/>
    <xf numFmtId="181" fontId="74" fillId="0" borderId="0" applyFont="0" applyFill="0" applyBorder="0" applyAlignment="0" applyProtection="0"/>
    <xf numFmtId="209" fontId="80" fillId="0" borderId="0" applyFont="0" applyFill="0" applyBorder="0" applyAlignment="0" applyProtection="0"/>
    <xf numFmtId="186" fontId="80" fillId="0" borderId="0" applyFont="0" applyFill="0" applyBorder="0" applyAlignment="0" applyProtection="0"/>
    <xf numFmtId="206" fontId="74" fillId="0" borderId="0" applyFont="0" applyFill="0" applyBorder="0" applyAlignment="0" applyProtection="0"/>
    <xf numFmtId="185" fontId="74" fillId="0" borderId="0" applyFont="0" applyFill="0" applyBorder="0" applyAlignment="0" applyProtection="0"/>
    <xf numFmtId="9" fontId="81" fillId="0" borderId="0" applyBorder="0" applyAlignment="0" applyProtection="0"/>
    <xf numFmtId="0" fontId="133" fillId="2" borderId="0" applyNumberFormat="0" applyBorder="0" applyAlignment="0" applyProtection="0"/>
    <xf numFmtId="0" fontId="133" fillId="3" borderId="0" applyNumberFormat="0" applyBorder="0" applyAlignment="0" applyProtection="0"/>
    <xf numFmtId="0" fontId="133" fillId="4" borderId="0" applyNumberFormat="0" applyBorder="0" applyAlignment="0" applyProtection="0"/>
    <xf numFmtId="0" fontId="133" fillId="5" borderId="0" applyNumberFormat="0" applyBorder="0" applyAlignment="0" applyProtection="0"/>
    <xf numFmtId="0" fontId="133" fillId="6" borderId="0" applyNumberFormat="0" applyBorder="0" applyAlignment="0" applyProtection="0"/>
    <xf numFmtId="0" fontId="133" fillId="7" borderId="0" applyNumberFormat="0" applyBorder="0" applyAlignment="0" applyProtection="0"/>
    <xf numFmtId="0" fontId="133" fillId="8" borderId="0" applyNumberFormat="0" applyBorder="0" applyAlignment="0" applyProtection="0"/>
    <xf numFmtId="0" fontId="133" fillId="9" borderId="0" applyNumberFormat="0" applyBorder="0" applyAlignment="0" applyProtection="0"/>
    <xf numFmtId="0" fontId="133" fillId="10" borderId="0" applyNumberFormat="0" applyBorder="0" applyAlignment="0" applyProtection="0"/>
    <xf numFmtId="0" fontId="133" fillId="11" borderId="0" applyNumberFormat="0" applyBorder="0" applyAlignment="0" applyProtection="0"/>
    <xf numFmtId="0" fontId="133" fillId="12" borderId="0" applyNumberFormat="0" applyBorder="0" applyAlignment="0" applyProtection="0"/>
    <xf numFmtId="0" fontId="133" fillId="13" borderId="0" applyNumberFormat="0" applyBorder="0" applyAlignment="0" applyProtection="0"/>
    <xf numFmtId="182" fontId="42" fillId="0" borderId="1" applyNumberFormat="0" applyFont="0" applyBorder="0" applyAlignment="0">
      <protection/>
    </xf>
    <xf numFmtId="0" fontId="134" fillId="14" borderId="0" applyNumberFormat="0" applyBorder="0" applyAlignment="0" applyProtection="0"/>
    <xf numFmtId="0" fontId="134" fillId="15" borderId="0" applyNumberFormat="0" applyBorder="0" applyAlignment="0" applyProtection="0"/>
    <xf numFmtId="0" fontId="134" fillId="16" borderId="0" applyNumberFormat="0" applyBorder="0" applyAlignment="0" applyProtection="0"/>
    <xf numFmtId="0" fontId="134" fillId="17" borderId="0" applyNumberFormat="0" applyBorder="0" applyAlignment="0" applyProtection="0"/>
    <xf numFmtId="0" fontId="134" fillId="18" borderId="0" applyNumberFormat="0" applyBorder="0" applyAlignment="0" applyProtection="0"/>
    <xf numFmtId="0" fontId="134" fillId="19" borderId="0" applyNumberFormat="0" applyBorder="0" applyAlignment="0" applyProtection="0"/>
    <xf numFmtId="0" fontId="134" fillId="20" borderId="0" applyNumberFormat="0" applyBorder="0" applyAlignment="0" applyProtection="0"/>
    <xf numFmtId="0" fontId="134" fillId="21" borderId="0" applyNumberFormat="0" applyBorder="0" applyAlignment="0" applyProtection="0"/>
    <xf numFmtId="0" fontId="134" fillId="22" borderId="0" applyNumberFormat="0" applyBorder="0" applyAlignment="0" applyProtection="0"/>
    <xf numFmtId="0" fontId="134" fillId="23" borderId="0" applyNumberFormat="0" applyBorder="0" applyAlignment="0" applyProtection="0"/>
    <xf numFmtId="0" fontId="134" fillId="24" borderId="0" applyNumberFormat="0" applyBorder="0" applyAlignment="0" applyProtection="0"/>
    <xf numFmtId="0" fontId="134" fillId="25" borderId="0" applyNumberFormat="0" applyBorder="0" applyAlignment="0" applyProtection="0"/>
    <xf numFmtId="210" fontId="25" fillId="0" borderId="0" applyFont="0" applyFill="0" applyBorder="0" applyAlignment="0" applyProtection="0"/>
    <xf numFmtId="0" fontId="33" fillId="0" borderId="0" applyFont="0" applyFill="0" applyBorder="0" applyAlignment="0" applyProtection="0"/>
    <xf numFmtId="211" fontId="25" fillId="0" borderId="0" applyFont="0" applyFill="0" applyBorder="0" applyAlignment="0" applyProtection="0"/>
    <xf numFmtId="0" fontId="33" fillId="0" borderId="0" applyFont="0" applyFill="0" applyBorder="0" applyAlignment="0" applyProtection="0"/>
    <xf numFmtId="211" fontId="25" fillId="0" borderId="0" applyFont="0" applyFill="0" applyBorder="0" applyAlignment="0" applyProtection="0"/>
    <xf numFmtId="212" fontId="82" fillId="0" borderId="0" applyFont="0" applyFill="0" applyBorder="0" applyAlignment="0" applyProtection="0"/>
    <xf numFmtId="0" fontId="33" fillId="0" borderId="0" applyFont="0" applyFill="0" applyBorder="0" applyAlignment="0" applyProtection="0"/>
    <xf numFmtId="212" fontId="82" fillId="0" borderId="0" applyFont="0" applyFill="0" applyBorder="0" applyAlignment="0" applyProtection="0"/>
    <xf numFmtId="213" fontId="82" fillId="0" borderId="0" applyFont="0" applyFill="0" applyBorder="0" applyAlignment="0" applyProtection="0"/>
    <xf numFmtId="0" fontId="33" fillId="0" borderId="0" applyFont="0" applyFill="0" applyBorder="0" applyAlignment="0" applyProtection="0"/>
    <xf numFmtId="213" fontId="82" fillId="0" borderId="0" applyFont="0" applyFill="0" applyBorder="0" applyAlignment="0" applyProtection="0"/>
    <xf numFmtId="206" fontId="74" fillId="0" borderId="0" applyFont="0" applyFill="0" applyBorder="0" applyAlignment="0" applyProtection="0"/>
    <xf numFmtId="0" fontId="135" fillId="26" borderId="0" applyNumberFormat="0" applyBorder="0" applyAlignment="0" applyProtection="0"/>
    <xf numFmtId="0" fontId="33" fillId="0" borderId="0">
      <alignment/>
      <protection/>
    </xf>
    <xf numFmtId="0" fontId="12" fillId="0" borderId="0">
      <alignment/>
      <protection/>
    </xf>
    <xf numFmtId="0" fontId="33" fillId="0" borderId="0">
      <alignment/>
      <protection/>
    </xf>
    <xf numFmtId="0" fontId="136" fillId="27" borderId="2" applyNumberFormat="0" applyAlignment="0" applyProtection="0"/>
    <xf numFmtId="0" fontId="83" fillId="0" borderId="0">
      <alignment/>
      <protection/>
    </xf>
    <xf numFmtId="214" fontId="8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73"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1" fontId="52"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52" fillId="0" borderId="0" applyFont="0" applyFill="0" applyBorder="0" applyAlignment="0" applyProtection="0"/>
    <xf numFmtId="197" fontId="28"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6" fontId="25" fillId="0" borderId="0" applyFont="0" applyFill="0" applyBorder="0" applyAlignment="0" applyProtection="0"/>
    <xf numFmtId="171" fontId="28"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1" fontId="0" fillId="0" borderId="0" applyFont="0" applyFill="0" applyBorder="0" applyAlignment="0" applyProtection="0"/>
    <xf numFmtId="43" fontId="73" fillId="0" borderId="0" applyFont="0" applyFill="0" applyBorder="0" applyAlignment="0" applyProtection="0"/>
    <xf numFmtId="180" fontId="28" fillId="0" borderId="0" applyFont="0" applyFill="0" applyBorder="0" applyAlignment="0" applyProtection="0"/>
    <xf numFmtId="180" fontId="28"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185" fontId="1" fillId="0" borderId="0" applyFont="0" applyFill="0" applyBorder="0" applyAlignment="0" applyProtection="0"/>
    <xf numFmtId="180" fontId="28"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80" fontId="28" fillId="0" borderId="0" applyFont="0" applyFill="0" applyBorder="0" applyAlignment="0" applyProtection="0"/>
    <xf numFmtId="43" fontId="73" fillId="0" borderId="0" applyFont="0" applyFill="0" applyBorder="0" applyAlignment="0" applyProtection="0"/>
    <xf numFmtId="43" fontId="0" fillId="0" borderId="0" applyFont="0" applyFill="0" applyBorder="0" applyAlignment="0" applyProtection="0"/>
    <xf numFmtId="43" fontId="73"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171" fontId="0" fillId="0" borderId="0" applyFont="0" applyFill="0" applyBorder="0" applyAlignment="0" applyProtection="0"/>
    <xf numFmtId="185" fontId="0" fillId="0" borderId="0" applyFont="0" applyFill="0" applyBorder="0" applyAlignment="0" applyProtection="0"/>
    <xf numFmtId="43" fontId="0"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171" fontId="55"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215" fontId="12" fillId="0" borderId="0">
      <alignment/>
      <protection/>
    </xf>
    <xf numFmtId="3" fontId="25" fillId="0" borderId="0" applyFont="0" applyFill="0" applyBorder="0" applyAlignment="0" applyProtection="0"/>
    <xf numFmtId="0" fontId="84" fillId="0" borderId="0">
      <alignment horizontal="center"/>
      <protection/>
    </xf>
    <xf numFmtId="44" fontId="0" fillId="0" borderId="0" applyFont="0" applyFill="0" applyBorder="0" applyAlignment="0" applyProtection="0"/>
    <xf numFmtId="42" fontId="0" fillId="0" borderId="0" applyFont="0" applyFill="0" applyBorder="0" applyAlignment="0" applyProtection="0"/>
    <xf numFmtId="172" fontId="25" fillId="0" borderId="0" applyFont="0" applyFill="0" applyBorder="0" applyAlignment="0" applyProtection="0"/>
    <xf numFmtId="216" fontId="25" fillId="0" borderId="0">
      <alignment/>
      <protection/>
    </xf>
    <xf numFmtId="0" fontId="137" fillId="28" borderId="3" applyNumberFormat="0" applyAlignment="0" applyProtection="0"/>
    <xf numFmtId="0" fontId="25" fillId="0" borderId="0" applyFont="0" applyFill="0" applyBorder="0" applyAlignment="0" applyProtection="0"/>
    <xf numFmtId="3" fontId="85" fillId="0" borderId="4">
      <alignment horizontal="left" vertical="top" wrapText="1"/>
      <protection/>
    </xf>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17" fontId="25" fillId="0" borderId="0">
      <alignment/>
      <protection/>
    </xf>
    <xf numFmtId="0" fontId="138" fillId="0" borderId="0" applyNumberFormat="0" applyFill="0" applyBorder="0" applyAlignment="0" applyProtection="0"/>
    <xf numFmtId="2" fontId="25" fillId="0" borderId="0" applyFont="0" applyFill="0" applyBorder="0" applyAlignment="0" applyProtection="0"/>
    <xf numFmtId="0" fontId="139" fillId="29" borderId="0" applyNumberFormat="0" applyBorder="0" applyAlignment="0" applyProtection="0"/>
    <xf numFmtId="38" fontId="87" fillId="30" borderId="0" applyNumberFormat="0" applyBorder="0" applyAlignment="0" applyProtection="0"/>
    <xf numFmtId="0" fontId="86" fillId="0" borderId="0">
      <alignment vertical="top" wrapText="1"/>
      <protection/>
    </xf>
    <xf numFmtId="0" fontId="88" fillId="0" borderId="0">
      <alignment horizontal="left"/>
      <protection/>
    </xf>
    <xf numFmtId="0" fontId="35" fillId="0" borderId="5" applyNumberFormat="0" applyAlignment="0" applyProtection="0"/>
    <xf numFmtId="0" fontId="35" fillId="0" borderId="6">
      <alignment horizontal="left" vertical="center"/>
      <protection/>
    </xf>
    <xf numFmtId="0" fontId="140" fillId="0" borderId="7" applyNumberFormat="0" applyFill="0" applyAlignment="0" applyProtection="0"/>
    <xf numFmtId="0" fontId="141" fillId="0" borderId="8" applyNumberFormat="0" applyFill="0" applyAlignment="0" applyProtection="0"/>
    <xf numFmtId="0" fontId="142" fillId="0" borderId="9" applyNumberFormat="0" applyFill="0" applyAlignment="0" applyProtection="0"/>
    <xf numFmtId="0" fontId="142" fillId="0" borderId="0" applyNumberFormat="0" applyFill="0" applyBorder="0" applyAlignment="0" applyProtection="0"/>
    <xf numFmtId="0" fontId="89" fillId="0" borderId="0" applyProtection="0">
      <alignment/>
    </xf>
    <xf numFmtId="0" fontId="35" fillId="0" borderId="0" applyProtection="0">
      <alignment/>
    </xf>
    <xf numFmtId="0" fontId="143" fillId="31" borderId="2" applyNumberFormat="0" applyAlignment="0" applyProtection="0"/>
    <xf numFmtId="10" fontId="87" fillId="30" borderId="10" applyNumberFormat="0" applyBorder="0" applyAlignment="0" applyProtection="0"/>
    <xf numFmtId="0" fontId="144" fillId="0" borderId="11" applyNumberFormat="0" applyFill="0" applyAlignment="0" applyProtection="0"/>
    <xf numFmtId="3" fontId="41" fillId="0" borderId="4" applyNumberFormat="0" applyAlignment="0">
      <protection/>
    </xf>
    <xf numFmtId="3" fontId="47" fillId="0" borderId="4" applyNumberFormat="0" applyAlignment="0">
      <protection/>
    </xf>
    <xf numFmtId="3" fontId="46" fillId="0" borderId="4" applyNumberFormat="0" applyAlignment="0">
      <protection/>
    </xf>
    <xf numFmtId="0" fontId="90" fillId="0" borderId="12">
      <alignment/>
      <protection/>
    </xf>
    <xf numFmtId="218" fontId="25" fillId="0" borderId="0" applyFont="0" applyFill="0" applyBorder="0" applyAlignment="0" applyProtection="0"/>
    <xf numFmtId="219" fontId="25" fillId="0" borderId="0" applyFont="0" applyFill="0" applyBorder="0" applyAlignment="0" applyProtection="0"/>
    <xf numFmtId="0" fontId="48" fillId="0" borderId="0" applyNumberFormat="0" applyFont="0" applyFill="0" applyAlignment="0">
      <protection/>
    </xf>
    <xf numFmtId="0" fontId="145" fillId="32" borderId="0" applyNumberFormat="0" applyBorder="0" applyAlignment="0" applyProtection="0"/>
    <xf numFmtId="0" fontId="12" fillId="0" borderId="0">
      <alignment/>
      <protection/>
    </xf>
    <xf numFmtId="0" fontId="28" fillId="0" borderId="0">
      <alignment horizontal="left"/>
      <protection/>
    </xf>
    <xf numFmtId="37" fontId="91" fillId="0" borderId="0">
      <alignment/>
      <protection/>
    </xf>
    <xf numFmtId="184" fontId="37" fillId="0" borderId="0">
      <alignment/>
      <protection/>
    </xf>
    <xf numFmtId="0" fontId="25" fillId="0" borderId="0">
      <alignment/>
      <protection/>
    </xf>
    <xf numFmtId="0" fontId="25" fillId="0" borderId="0">
      <alignment/>
      <protection/>
    </xf>
    <xf numFmtId="0" fontId="0" fillId="0" borderId="0">
      <alignment/>
      <protection/>
    </xf>
    <xf numFmtId="0" fontId="73" fillId="0" borderId="0">
      <alignment/>
      <protection/>
    </xf>
    <xf numFmtId="0" fontId="2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133" fillId="0" borderId="0">
      <alignment/>
      <protection/>
    </xf>
    <xf numFmtId="0" fontId="0" fillId="0" borderId="0">
      <alignment/>
      <protection/>
    </xf>
    <xf numFmtId="0" fontId="0" fillId="0" borderId="0">
      <alignment/>
      <protection/>
    </xf>
    <xf numFmtId="0" fontId="25" fillId="0" borderId="0">
      <alignment/>
      <protection/>
    </xf>
    <xf numFmtId="0" fontId="73" fillId="0" borderId="0">
      <alignment/>
      <protection/>
    </xf>
    <xf numFmtId="0" fontId="73" fillId="0" borderId="0">
      <alignment/>
      <protection/>
    </xf>
    <xf numFmtId="0" fontId="0" fillId="0" borderId="0">
      <alignment/>
      <protection/>
    </xf>
    <xf numFmtId="0" fontId="73" fillId="0" borderId="0">
      <alignment/>
      <protection/>
    </xf>
    <xf numFmtId="0" fontId="25" fillId="0" borderId="0">
      <alignment/>
      <protection/>
    </xf>
    <xf numFmtId="0" fontId="73" fillId="0" borderId="0">
      <alignment/>
      <protection/>
    </xf>
    <xf numFmtId="0" fontId="73" fillId="0" borderId="0">
      <alignment/>
      <protection/>
    </xf>
    <xf numFmtId="0" fontId="73" fillId="0" borderId="0">
      <alignment/>
      <protection/>
    </xf>
    <xf numFmtId="0" fontId="73" fillId="0" borderId="0">
      <alignment/>
      <protection/>
    </xf>
    <xf numFmtId="0" fontId="0" fillId="0" borderId="0">
      <alignment/>
      <protection/>
    </xf>
    <xf numFmtId="0" fontId="73" fillId="0" borderId="0">
      <alignment/>
      <protection/>
    </xf>
    <xf numFmtId="0" fontId="25" fillId="0" borderId="0">
      <alignment/>
      <protection/>
    </xf>
    <xf numFmtId="0" fontId="133" fillId="0" borderId="0">
      <alignment/>
      <protection/>
    </xf>
    <xf numFmtId="0" fontId="133" fillId="0" borderId="0">
      <alignment/>
      <protection/>
    </xf>
    <xf numFmtId="0" fontId="133" fillId="0" borderId="0">
      <alignment/>
      <protection/>
    </xf>
    <xf numFmtId="0" fontId="133" fillId="0" borderId="0">
      <alignment/>
      <protection/>
    </xf>
    <xf numFmtId="0" fontId="133" fillId="0" borderId="0">
      <alignment/>
      <protection/>
    </xf>
    <xf numFmtId="0" fontId="133" fillId="0" borderId="0">
      <alignment/>
      <protection/>
    </xf>
    <xf numFmtId="0" fontId="133" fillId="0" borderId="0">
      <alignment/>
      <protection/>
    </xf>
    <xf numFmtId="0" fontId="0" fillId="0" borderId="0">
      <alignment/>
      <protection/>
    </xf>
    <xf numFmtId="0" fontId="133" fillId="0" borderId="0">
      <alignment/>
      <protection/>
    </xf>
    <xf numFmtId="0" fontId="28" fillId="0" borderId="0">
      <alignment/>
      <protection/>
    </xf>
    <xf numFmtId="0" fontId="25" fillId="0" borderId="0">
      <alignment/>
      <protection/>
    </xf>
    <xf numFmtId="0" fontId="73" fillId="0" borderId="0">
      <alignment/>
      <protection/>
    </xf>
    <xf numFmtId="0" fontId="73" fillId="0" borderId="0">
      <alignment/>
      <protection/>
    </xf>
    <xf numFmtId="0" fontId="25" fillId="0" borderId="0">
      <alignment/>
      <protection/>
    </xf>
    <xf numFmtId="0" fontId="73"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01" fillId="0" borderId="0">
      <alignment/>
      <protection/>
    </xf>
    <xf numFmtId="0" fontId="133" fillId="0" borderId="0">
      <alignment/>
      <protection/>
    </xf>
    <xf numFmtId="0" fontId="133" fillId="0" borderId="0">
      <alignment/>
      <protection/>
    </xf>
    <xf numFmtId="0" fontId="133" fillId="0" borderId="0">
      <alignment/>
      <protection/>
    </xf>
    <xf numFmtId="0" fontId="133" fillId="0" borderId="0">
      <alignment/>
      <protection/>
    </xf>
    <xf numFmtId="0" fontId="146" fillId="0" borderId="0">
      <alignment/>
      <protection/>
    </xf>
    <xf numFmtId="0" fontId="0" fillId="0" borderId="0">
      <alignment/>
      <protection/>
    </xf>
    <xf numFmtId="0" fontId="133" fillId="0" borderId="0">
      <alignment/>
      <protection/>
    </xf>
    <xf numFmtId="0" fontId="133" fillId="0" borderId="0">
      <alignment/>
      <protection/>
    </xf>
    <xf numFmtId="0" fontId="133" fillId="0" borderId="0">
      <alignment/>
      <protection/>
    </xf>
    <xf numFmtId="0" fontId="133" fillId="0" borderId="0">
      <alignment/>
      <protection/>
    </xf>
    <xf numFmtId="0" fontId="25" fillId="0" borderId="0">
      <alignment/>
      <protection/>
    </xf>
    <xf numFmtId="0" fontId="25" fillId="0" borderId="0">
      <alignment/>
      <protection/>
    </xf>
    <xf numFmtId="0" fontId="133" fillId="0" borderId="0">
      <alignment/>
      <protection/>
    </xf>
    <xf numFmtId="0" fontId="133" fillId="0" borderId="0">
      <alignment/>
      <protection/>
    </xf>
    <xf numFmtId="0" fontId="133" fillId="0" borderId="0">
      <alignment/>
      <protection/>
    </xf>
    <xf numFmtId="0" fontId="133" fillId="0" borderId="0">
      <alignment/>
      <protection/>
    </xf>
    <xf numFmtId="0" fontId="133" fillId="0" borderId="0">
      <alignment/>
      <protection/>
    </xf>
    <xf numFmtId="0" fontId="133" fillId="0" borderId="0">
      <alignment/>
      <protection/>
    </xf>
    <xf numFmtId="0" fontId="133" fillId="0" borderId="0">
      <alignment/>
      <protection/>
    </xf>
    <xf numFmtId="0" fontId="133" fillId="0" borderId="0">
      <alignment/>
      <protection/>
    </xf>
    <xf numFmtId="0" fontId="133" fillId="0" borderId="0">
      <alignment/>
      <protection/>
    </xf>
    <xf numFmtId="0" fontId="13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7" fillId="0" borderId="0">
      <alignment/>
      <protection/>
    </xf>
    <xf numFmtId="0" fontId="133" fillId="0" borderId="0">
      <alignment/>
      <protection/>
    </xf>
    <xf numFmtId="0" fontId="133" fillId="0" borderId="0">
      <alignment/>
      <protection/>
    </xf>
    <xf numFmtId="0" fontId="133" fillId="0" borderId="0">
      <alignment/>
      <protection/>
    </xf>
    <xf numFmtId="0" fontId="133" fillId="0" borderId="0">
      <alignment/>
      <protection/>
    </xf>
    <xf numFmtId="0" fontId="133" fillId="0" borderId="0">
      <alignment/>
      <protection/>
    </xf>
    <xf numFmtId="0" fontId="101" fillId="0" borderId="0">
      <alignment/>
      <protection/>
    </xf>
    <xf numFmtId="0" fontId="12" fillId="0" borderId="0">
      <alignment/>
      <protection/>
    </xf>
    <xf numFmtId="0" fontId="73" fillId="0" borderId="0">
      <alignment/>
      <protection/>
    </xf>
    <xf numFmtId="0" fontId="25" fillId="0" borderId="0">
      <alignment/>
      <protection/>
    </xf>
    <xf numFmtId="0" fontId="101" fillId="0" borderId="0">
      <alignment/>
      <protection/>
    </xf>
    <xf numFmtId="0" fontId="0" fillId="0" borderId="0">
      <alignment/>
      <protection/>
    </xf>
    <xf numFmtId="0" fontId="73" fillId="0" borderId="0">
      <alignment/>
      <protection/>
    </xf>
    <xf numFmtId="0" fontId="0" fillId="0" borderId="0">
      <alignment/>
      <protection/>
    </xf>
    <xf numFmtId="0" fontId="25" fillId="0" borderId="0">
      <alignment/>
      <protection/>
    </xf>
    <xf numFmtId="0" fontId="0" fillId="0" borderId="0">
      <alignment/>
      <protection/>
    </xf>
    <xf numFmtId="0" fontId="25" fillId="0" borderId="0">
      <alignment/>
      <protection/>
    </xf>
    <xf numFmtId="0" fontId="25" fillId="0" borderId="0">
      <alignment/>
      <protection/>
    </xf>
    <xf numFmtId="0" fontId="0" fillId="0" borderId="0">
      <alignment/>
      <protection/>
    </xf>
    <xf numFmtId="0" fontId="25" fillId="0" borderId="0">
      <alignment/>
      <protection/>
    </xf>
    <xf numFmtId="0" fontId="28" fillId="0" borderId="0">
      <alignment/>
      <protection/>
    </xf>
    <xf numFmtId="0" fontId="28" fillId="0" borderId="0">
      <alignment/>
      <protection/>
    </xf>
    <xf numFmtId="0" fontId="0" fillId="0" borderId="0">
      <alignment/>
      <protection/>
    </xf>
    <xf numFmtId="0" fontId="0" fillId="0" borderId="0">
      <alignment/>
      <protection/>
    </xf>
    <xf numFmtId="0" fontId="28" fillId="0" borderId="0">
      <alignment/>
      <protection/>
    </xf>
    <xf numFmtId="0" fontId="28" fillId="0" borderId="0">
      <alignment/>
      <protection/>
    </xf>
    <xf numFmtId="0" fontId="0" fillId="0" borderId="0">
      <alignment/>
      <protection/>
    </xf>
    <xf numFmtId="0" fontId="25" fillId="0" borderId="0">
      <alignment/>
      <protection/>
    </xf>
    <xf numFmtId="0" fontId="6" fillId="0" borderId="0">
      <alignment/>
      <protection/>
    </xf>
    <xf numFmtId="0" fontId="0" fillId="33" borderId="13" applyNumberFormat="0" applyFont="0" applyAlignment="0" applyProtection="0"/>
    <xf numFmtId="0" fontId="148" fillId="27" borderId="14" applyNumberFormat="0" applyAlignment="0" applyProtection="0"/>
    <xf numFmtId="9" fontId="0" fillId="0" borderId="0" applyFont="0" applyFill="0" applyBorder="0" applyAlignment="0" applyProtection="0"/>
    <xf numFmtId="10"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73" fillId="0" borderId="0" applyFont="0" applyFill="0" applyBorder="0" applyAlignment="0" applyProtection="0"/>
    <xf numFmtId="9" fontId="0"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68" fontId="80" fillId="0" borderId="0" applyFont="0" applyFill="0" applyBorder="0" applyAlignment="0" applyProtection="0"/>
    <xf numFmtId="209" fontId="80" fillId="0" borderId="0" applyFont="0" applyFill="0" applyBorder="0" applyAlignment="0" applyProtection="0"/>
    <xf numFmtId="220" fontId="25" fillId="0" borderId="0" applyFill="0" applyBorder="0" applyAlignment="0" applyProtection="0"/>
    <xf numFmtId="168" fontId="80" fillId="0" borderId="0" applyFont="0" applyFill="0" applyBorder="0" applyAlignment="0" applyProtection="0"/>
    <xf numFmtId="0" fontId="92" fillId="0" borderId="0">
      <alignment/>
      <protection/>
    </xf>
    <xf numFmtId="0" fontId="93" fillId="0" borderId="0">
      <alignment horizontal="center"/>
      <protection/>
    </xf>
    <xf numFmtId="0" fontId="94" fillId="0" borderId="1">
      <alignment horizontal="center" vertical="center"/>
      <protection/>
    </xf>
    <xf numFmtId="0" fontId="95" fillId="0" borderId="10" applyAlignment="0">
      <protection/>
    </xf>
    <xf numFmtId="0" fontId="96" fillId="0" borderId="10">
      <alignment horizontal="center" vertical="center" wrapText="1"/>
      <protection/>
    </xf>
    <xf numFmtId="3" fontId="97" fillId="0" borderId="0">
      <alignment/>
      <protection/>
    </xf>
    <xf numFmtId="0" fontId="98" fillId="0" borderId="15">
      <alignment/>
      <protection/>
    </xf>
    <xf numFmtId="0" fontId="90" fillId="0" borderId="0">
      <alignment/>
      <protection/>
    </xf>
    <xf numFmtId="0" fontId="149" fillId="0" borderId="0" applyNumberFormat="0" applyFill="0" applyBorder="0" applyAlignment="0" applyProtection="0"/>
    <xf numFmtId="3" fontId="43" fillId="0" borderId="4" applyNumberFormat="0" applyAlignment="0">
      <protection/>
    </xf>
    <xf numFmtId="3" fontId="40" fillId="0" borderId="16" applyNumberFormat="0" applyAlignment="0">
      <protection/>
    </xf>
    <xf numFmtId="0" fontId="150" fillId="0" borderId="17" applyNumberFormat="0" applyFill="0" applyAlignment="0" applyProtection="0"/>
    <xf numFmtId="0" fontId="99" fillId="0" borderId="0" applyFont="0">
      <alignment horizontal="centerContinuous"/>
      <protection/>
    </xf>
    <xf numFmtId="0" fontId="151" fillId="0" borderId="0" applyNumberFormat="0" applyFill="0" applyBorder="0" applyAlignment="0" applyProtection="0"/>
    <xf numFmtId="0" fontId="45" fillId="0" borderId="0" applyNumberFormat="0" applyFill="0" applyBorder="0" applyAlignment="0" applyProtection="0"/>
    <xf numFmtId="0" fontId="39" fillId="0" borderId="0" applyFont="0" applyFill="0" applyBorder="0" applyAlignment="0" applyProtection="0"/>
    <xf numFmtId="0" fontId="39" fillId="0" borderId="0" applyFont="0" applyFill="0" applyBorder="0" applyAlignment="0" applyProtection="0"/>
    <xf numFmtId="0" fontId="0" fillId="0" borderId="0">
      <alignment vertical="center"/>
      <protection/>
    </xf>
    <xf numFmtId="40" fontId="32" fillId="0" borderId="0" applyFont="0" applyFill="0" applyBorder="0" applyAlignment="0" applyProtection="0"/>
    <xf numFmtId="38" fontId="32" fillId="0" borderId="0" applyFont="0" applyFill="0" applyBorder="0" applyAlignment="0" applyProtection="0"/>
    <xf numFmtId="0" fontId="32" fillId="0" borderId="0" applyFont="0" applyFill="0" applyBorder="0" applyAlignment="0" applyProtection="0"/>
    <xf numFmtId="0" fontId="32" fillId="0" borderId="0" applyFont="0" applyFill="0" applyBorder="0" applyAlignment="0" applyProtection="0"/>
    <xf numFmtId="9" fontId="38" fillId="0" borderId="0" applyFont="0" applyFill="0" applyBorder="0" applyAlignment="0" applyProtection="0"/>
    <xf numFmtId="0" fontId="36" fillId="0" borderId="0">
      <alignment/>
      <protection/>
    </xf>
    <xf numFmtId="177" fontId="25" fillId="0" borderId="0" applyFont="0" applyFill="0" applyBorder="0" applyAlignment="0" applyProtection="0"/>
    <xf numFmtId="175" fontId="25" fillId="0" borderId="0" applyFont="0" applyFill="0" applyBorder="0" applyAlignment="0" applyProtection="0"/>
    <xf numFmtId="187" fontId="38" fillId="0" borderId="0" applyFont="0" applyFill="0" applyBorder="0" applyAlignment="0" applyProtection="0"/>
    <xf numFmtId="174" fontId="38" fillId="0" borderId="0" applyFont="0" applyFill="0" applyBorder="0" applyAlignment="0" applyProtection="0"/>
    <xf numFmtId="0" fontId="44" fillId="0" borderId="0">
      <alignment/>
      <protection/>
    </xf>
    <xf numFmtId="0" fontId="48" fillId="0" borderId="0">
      <alignment/>
      <protection/>
    </xf>
    <xf numFmtId="181" fontId="31" fillId="0" borderId="0" applyFont="0" applyFill="0" applyBorder="0" applyAlignment="0" applyProtection="0"/>
    <xf numFmtId="185" fontId="31" fillId="0" borderId="0" applyFont="0" applyFill="0" applyBorder="0" applyAlignment="0" applyProtection="0"/>
    <xf numFmtId="183" fontId="31" fillId="0" borderId="0" applyFont="0" applyFill="0" applyBorder="0" applyAlignment="0" applyProtection="0"/>
    <xf numFmtId="178" fontId="34" fillId="0" borderId="0" applyFont="0" applyFill="0" applyBorder="0" applyAlignment="0" applyProtection="0"/>
    <xf numFmtId="173" fontId="31" fillId="0" borderId="0" applyFont="0" applyFill="0" applyBorder="0" applyAlignment="0" applyProtection="0"/>
  </cellStyleXfs>
  <cellXfs count="1536">
    <xf numFmtId="0" fontId="0" fillId="0" borderId="0" xfId="0" applyAlignment="1">
      <alignment/>
    </xf>
    <xf numFmtId="0" fontId="7" fillId="0" borderId="0" xfId="297" applyFont="1" applyAlignment="1">
      <alignment horizontal="right" vertical="center"/>
      <protection/>
    </xf>
    <xf numFmtId="0" fontId="0" fillId="0" borderId="0" xfId="0" applyAlignment="1">
      <alignment horizontal="center" vertical="center" wrapText="1"/>
    </xf>
    <xf numFmtId="0" fontId="0" fillId="0" borderId="0" xfId="0" applyAlignment="1">
      <alignment horizontal="center" vertical="center"/>
    </xf>
    <xf numFmtId="0" fontId="5" fillId="0" borderId="0" xfId="0" applyFont="1" applyAlignment="1">
      <alignment vertical="center"/>
    </xf>
    <xf numFmtId="0" fontId="4" fillId="0" borderId="0" xfId="0" applyFont="1" applyAlignment="1">
      <alignment vertical="center"/>
    </xf>
    <xf numFmtId="0" fontId="0" fillId="0" borderId="0" xfId="0" applyAlignment="1">
      <alignment vertical="center"/>
    </xf>
    <xf numFmtId="3" fontId="0" fillId="0" borderId="10" xfId="288" applyNumberFormat="1" applyFont="1" applyBorder="1" applyAlignment="1">
      <alignment horizontal="center" vertical="center" wrapText="1"/>
      <protection/>
    </xf>
    <xf numFmtId="3" fontId="6" fillId="0" borderId="10" xfId="288" applyNumberFormat="1" applyFont="1" applyBorder="1" applyAlignment="1">
      <alignment horizontal="center" vertical="center" wrapText="1"/>
      <protection/>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0" xfId="0" applyFont="1" applyBorder="1" applyAlignment="1">
      <alignment vertical="center" wrapText="1"/>
    </xf>
    <xf numFmtId="0" fontId="0" fillId="0" borderId="10" xfId="0" applyBorder="1" applyAlignment="1">
      <alignment vertical="center"/>
    </xf>
    <xf numFmtId="0" fontId="8" fillId="0" borderId="10" xfId="0" applyFont="1" applyBorder="1" applyAlignment="1">
      <alignment vertical="center"/>
    </xf>
    <xf numFmtId="0" fontId="4" fillId="0" borderId="10" xfId="0" applyFont="1" applyBorder="1" applyAlignment="1">
      <alignment vertical="center"/>
    </xf>
    <xf numFmtId="0" fontId="0" fillId="0" borderId="10" xfId="0" applyBorder="1" applyAlignment="1">
      <alignment horizontal="center" vertical="center"/>
    </xf>
    <xf numFmtId="0" fontId="4" fillId="0" borderId="10" xfId="0" applyFont="1" applyBorder="1" applyAlignment="1">
      <alignment horizontal="center" vertical="center"/>
    </xf>
    <xf numFmtId="0" fontId="8" fillId="0" borderId="10" xfId="0" applyFont="1" applyBorder="1" applyAlignment="1">
      <alignment vertical="center" wrapText="1"/>
    </xf>
    <xf numFmtId="0" fontId="5" fillId="0" borderId="0" xfId="0" applyFont="1" applyAlignment="1">
      <alignment/>
    </xf>
    <xf numFmtId="0" fontId="5" fillId="0" borderId="10" xfId="0" applyFont="1" applyBorder="1" applyAlignment="1">
      <alignment horizontal="center" vertical="center" wrapText="1"/>
    </xf>
    <xf numFmtId="0" fontId="5" fillId="0" borderId="10" xfId="0" applyFont="1" applyBorder="1" applyAlignment="1">
      <alignment horizontal="center"/>
    </xf>
    <xf numFmtId="0" fontId="0" fillId="0" borderId="10" xfId="0" applyBorder="1" applyAlignment="1">
      <alignment/>
    </xf>
    <xf numFmtId="0" fontId="5" fillId="0" borderId="10" xfId="0" applyFont="1" applyBorder="1" applyAlignment="1">
      <alignment/>
    </xf>
    <xf numFmtId="0" fontId="0" fillId="0" borderId="0" xfId="0" applyAlignment="1">
      <alignment horizontal="right"/>
    </xf>
    <xf numFmtId="1" fontId="0" fillId="0" borderId="0" xfId="288" applyNumberFormat="1" applyFont="1" applyAlignment="1">
      <alignment vertical="center"/>
      <protection/>
    </xf>
    <xf numFmtId="1" fontId="9" fillId="0" borderId="0" xfId="288" applyNumberFormat="1" applyFont="1" applyAlignment="1">
      <alignment vertical="center"/>
      <protection/>
    </xf>
    <xf numFmtId="3" fontId="10" fillId="0" borderId="0" xfId="288" applyNumberFormat="1" applyFont="1" applyAlignment="1">
      <alignment vertical="center" wrapText="1"/>
      <protection/>
    </xf>
    <xf numFmtId="1" fontId="11" fillId="0" borderId="0" xfId="288" applyNumberFormat="1" applyFont="1" applyAlignment="1">
      <alignment vertical="center"/>
      <protection/>
    </xf>
    <xf numFmtId="1" fontId="12" fillId="0" borderId="0" xfId="288" applyNumberFormat="1" applyFont="1" applyAlignment="1">
      <alignment horizontal="center" vertical="center"/>
      <protection/>
    </xf>
    <xf numFmtId="1" fontId="12" fillId="0" borderId="0" xfId="288" applyNumberFormat="1" applyFont="1" applyAlignment="1">
      <alignment vertical="center" wrapText="1"/>
      <protection/>
    </xf>
    <xf numFmtId="1" fontId="12" fillId="0" borderId="0" xfId="288" applyNumberFormat="1" applyFont="1" applyAlignment="1">
      <alignment horizontal="center" vertical="center" wrapText="1"/>
      <protection/>
    </xf>
    <xf numFmtId="1" fontId="12" fillId="0" borderId="0" xfId="288" applyNumberFormat="1" applyFont="1" applyAlignment="1">
      <alignment horizontal="right" vertical="center"/>
      <protection/>
    </xf>
    <xf numFmtId="1" fontId="12" fillId="0" borderId="0" xfId="288" applyNumberFormat="1" applyFont="1" applyAlignment="1">
      <alignment vertical="center"/>
      <protection/>
    </xf>
    <xf numFmtId="1" fontId="5" fillId="0" borderId="0" xfId="288" applyNumberFormat="1" applyFont="1" applyAlignment="1">
      <alignment vertical="center"/>
      <protection/>
    </xf>
    <xf numFmtId="1" fontId="4" fillId="0" borderId="0" xfId="288" applyNumberFormat="1" applyFont="1" applyAlignment="1">
      <alignment horizontal="center" vertical="center" wrapText="1"/>
      <protection/>
    </xf>
    <xf numFmtId="1" fontId="0" fillId="0" borderId="18" xfId="288" applyNumberFormat="1" applyFont="1" applyBorder="1" applyAlignment="1">
      <alignment horizontal="center" vertical="center"/>
      <protection/>
    </xf>
    <xf numFmtId="1" fontId="5" fillId="0" borderId="18" xfId="288" applyNumberFormat="1" applyFont="1" applyBorder="1" applyAlignment="1">
      <alignment horizontal="center" vertical="center" wrapText="1"/>
      <protection/>
    </xf>
    <xf numFmtId="1" fontId="0" fillId="0" borderId="18" xfId="288" applyNumberFormat="1" applyFont="1" applyBorder="1" applyAlignment="1">
      <alignment horizontal="center" vertical="center" wrapText="1"/>
      <protection/>
    </xf>
    <xf numFmtId="1" fontId="0" fillId="0" borderId="18" xfId="288" applyNumberFormat="1" applyFont="1" applyBorder="1" applyAlignment="1">
      <alignment horizontal="right" vertical="center"/>
      <protection/>
    </xf>
    <xf numFmtId="1" fontId="5" fillId="0" borderId="16" xfId="288" applyNumberFormat="1" applyFont="1" applyBorder="1" applyAlignment="1">
      <alignment horizontal="center" vertical="center"/>
      <protection/>
    </xf>
    <xf numFmtId="1" fontId="5" fillId="0" borderId="19" xfId="288" applyNumberFormat="1" applyFont="1" applyBorder="1" applyAlignment="1">
      <alignment vertical="center" wrapText="1"/>
      <protection/>
    </xf>
    <xf numFmtId="1" fontId="5" fillId="0" borderId="16" xfId="288" applyNumberFormat="1" applyFont="1" applyBorder="1" applyAlignment="1">
      <alignment horizontal="center" vertical="center" wrapText="1"/>
      <protection/>
    </xf>
    <xf numFmtId="1" fontId="5" fillId="0" borderId="16" xfId="288" applyNumberFormat="1" applyFont="1" applyBorder="1" applyAlignment="1">
      <alignment horizontal="right" vertical="center"/>
      <protection/>
    </xf>
    <xf numFmtId="1" fontId="0" fillId="0" borderId="16" xfId="288" applyNumberFormat="1" applyFont="1" applyBorder="1" applyAlignment="1">
      <alignment horizontal="center" vertical="center"/>
      <protection/>
    </xf>
    <xf numFmtId="1" fontId="0" fillId="0" borderId="16" xfId="288" applyNumberFormat="1" applyFont="1" applyBorder="1" applyAlignment="1">
      <alignment vertical="center" wrapText="1"/>
      <protection/>
    </xf>
    <xf numFmtId="1" fontId="0" fillId="0" borderId="16" xfId="288" applyNumberFormat="1" applyFont="1" applyBorder="1" applyAlignment="1">
      <alignment horizontal="center" vertical="center" wrapText="1"/>
      <protection/>
    </xf>
    <xf numFmtId="1" fontId="0" fillId="0" borderId="16" xfId="288" applyNumberFormat="1" applyFont="1" applyBorder="1" applyAlignment="1">
      <alignment horizontal="right" vertical="center"/>
      <protection/>
    </xf>
    <xf numFmtId="1" fontId="5" fillId="0" borderId="16" xfId="288" applyNumberFormat="1" applyFont="1" applyBorder="1" applyAlignment="1">
      <alignment vertical="center" wrapText="1"/>
      <protection/>
    </xf>
    <xf numFmtId="1" fontId="0" fillId="0" borderId="20" xfId="288" applyNumberFormat="1" applyFont="1" applyBorder="1" applyAlignment="1">
      <alignment horizontal="center" vertical="center"/>
      <protection/>
    </xf>
    <xf numFmtId="1" fontId="0" fillId="0" borderId="20" xfId="288" applyNumberFormat="1" applyFont="1" applyBorder="1" applyAlignment="1">
      <alignment vertical="center" wrapText="1"/>
      <protection/>
    </xf>
    <xf numFmtId="1" fontId="0" fillId="0" borderId="20" xfId="288" applyNumberFormat="1" applyFont="1" applyBorder="1" applyAlignment="1">
      <alignment horizontal="center" vertical="center" wrapText="1"/>
      <protection/>
    </xf>
    <xf numFmtId="1" fontId="0" fillId="0" borderId="20" xfId="288" applyNumberFormat="1" applyFont="1" applyBorder="1" applyAlignment="1">
      <alignment horizontal="right" vertical="center"/>
      <protection/>
    </xf>
    <xf numFmtId="1" fontId="0" fillId="0" borderId="0" xfId="288" applyNumberFormat="1" applyFont="1" applyAlignment="1">
      <alignment horizontal="center" vertical="center"/>
      <protection/>
    </xf>
    <xf numFmtId="1" fontId="0" fillId="0" borderId="0" xfId="288" applyNumberFormat="1" applyFont="1" applyAlignment="1">
      <alignment vertical="center" wrapText="1"/>
      <protection/>
    </xf>
    <xf numFmtId="1" fontId="0" fillId="0" borderId="0" xfId="288" applyNumberFormat="1" applyFont="1" applyAlignment="1">
      <alignment horizontal="center" vertical="center" wrapText="1"/>
      <protection/>
    </xf>
    <xf numFmtId="1" fontId="0" fillId="0" borderId="0" xfId="288" applyNumberFormat="1" applyFont="1" applyAlignment="1">
      <alignment horizontal="right" vertical="center"/>
      <protection/>
    </xf>
    <xf numFmtId="1" fontId="5" fillId="0" borderId="0" xfId="288" applyNumberFormat="1" applyFont="1" applyAlignment="1">
      <alignment vertical="center" wrapText="1"/>
      <protection/>
    </xf>
    <xf numFmtId="1" fontId="13" fillId="0" borderId="0" xfId="288" applyNumberFormat="1" applyFont="1" applyAlignment="1">
      <alignment horizontal="right" vertical="center"/>
      <protection/>
    </xf>
    <xf numFmtId="1" fontId="14" fillId="0" borderId="0" xfId="288" applyNumberFormat="1" applyFont="1" applyAlignment="1">
      <alignment vertical="center"/>
      <protection/>
    </xf>
    <xf numFmtId="1" fontId="12" fillId="0" borderId="20" xfId="288" applyNumberFormat="1" applyFont="1" applyBorder="1" applyAlignment="1">
      <alignment horizontal="right" vertical="center"/>
      <protection/>
    </xf>
    <xf numFmtId="1" fontId="15" fillId="0" borderId="0" xfId="288" applyNumberFormat="1" applyFont="1" applyAlignment="1">
      <alignment vertical="center"/>
      <protection/>
    </xf>
    <xf numFmtId="1" fontId="16" fillId="0" borderId="0" xfId="288" applyNumberFormat="1" applyFont="1" applyAlignment="1">
      <alignment vertical="center"/>
      <protection/>
    </xf>
    <xf numFmtId="3" fontId="6" fillId="0" borderId="0" xfId="288" applyNumberFormat="1" applyFont="1" applyAlignment="1">
      <alignment horizontal="center" vertical="center" wrapText="1"/>
      <protection/>
    </xf>
    <xf numFmtId="3" fontId="6" fillId="0" borderId="0" xfId="288" applyNumberFormat="1" applyFont="1" applyAlignment="1">
      <alignment vertical="center" wrapText="1"/>
      <protection/>
    </xf>
    <xf numFmtId="1" fontId="2" fillId="0" borderId="0" xfId="288" applyNumberFormat="1" applyFont="1" applyAlignment="1">
      <alignment vertical="center"/>
      <protection/>
    </xf>
    <xf numFmtId="1" fontId="7" fillId="0" borderId="0" xfId="288" applyNumberFormat="1" applyFont="1" applyAlignment="1">
      <alignment vertical="center"/>
      <protection/>
    </xf>
    <xf numFmtId="1" fontId="17" fillId="0" borderId="0" xfId="288" applyNumberFormat="1" applyFont="1" applyAlignment="1">
      <alignment vertical="center"/>
      <protection/>
    </xf>
    <xf numFmtId="1" fontId="6" fillId="0" borderId="0" xfId="288" applyNumberFormat="1" applyFont="1" applyAlignment="1">
      <alignment horizontal="center" vertical="center"/>
      <protection/>
    </xf>
    <xf numFmtId="1" fontId="6" fillId="0" borderId="0" xfId="288" applyNumberFormat="1" applyFont="1" applyAlignment="1">
      <alignment vertical="center" wrapText="1"/>
      <protection/>
    </xf>
    <xf numFmtId="1" fontId="6" fillId="0" borderId="0" xfId="288" applyNumberFormat="1" applyFont="1" applyAlignment="1">
      <alignment horizontal="center" vertical="center" wrapText="1"/>
      <protection/>
    </xf>
    <xf numFmtId="1" fontId="6" fillId="0" borderId="0" xfId="288" applyNumberFormat="1" applyFont="1" applyAlignment="1">
      <alignment horizontal="right" vertical="center"/>
      <protection/>
    </xf>
    <xf numFmtId="1" fontId="6" fillId="0" borderId="0" xfId="288" applyNumberFormat="1" applyFont="1" applyAlignment="1">
      <alignment vertical="center"/>
      <protection/>
    </xf>
    <xf numFmtId="1" fontId="18" fillId="0" borderId="0" xfId="288" applyNumberFormat="1" applyFont="1" applyAlignment="1">
      <alignment vertical="center"/>
      <protection/>
    </xf>
    <xf numFmtId="1" fontId="6" fillId="0" borderId="18" xfId="288" applyNumberFormat="1" applyFont="1" applyBorder="1" applyAlignment="1">
      <alignment horizontal="center" vertical="center"/>
      <protection/>
    </xf>
    <xf numFmtId="1" fontId="2" fillId="0" borderId="18" xfId="288" applyNumberFormat="1" applyFont="1" applyBorder="1" applyAlignment="1">
      <alignment horizontal="center" vertical="center" wrapText="1"/>
      <protection/>
    </xf>
    <xf numFmtId="1" fontId="6" fillId="0" borderId="18" xfId="288" applyNumberFormat="1" applyFont="1" applyBorder="1" applyAlignment="1">
      <alignment horizontal="center" vertical="center" wrapText="1"/>
      <protection/>
    </xf>
    <xf numFmtId="1" fontId="6" fillId="0" borderId="18" xfId="288" applyNumberFormat="1" applyFont="1" applyBorder="1" applyAlignment="1">
      <alignment horizontal="right" vertical="center"/>
      <protection/>
    </xf>
    <xf numFmtId="1" fontId="2" fillId="0" borderId="16" xfId="288" applyNumberFormat="1" applyFont="1" applyBorder="1" applyAlignment="1">
      <alignment horizontal="center" vertical="center"/>
      <protection/>
    </xf>
    <xf numFmtId="1" fontId="2" fillId="0" borderId="19" xfId="288" applyNumberFormat="1" applyFont="1" applyBorder="1" applyAlignment="1">
      <alignment vertical="center" wrapText="1"/>
      <protection/>
    </xf>
    <xf numFmtId="1" fontId="2" fillId="0" borderId="16" xfId="288" applyNumberFormat="1" applyFont="1" applyBorder="1" applyAlignment="1">
      <alignment horizontal="center" vertical="center" wrapText="1"/>
      <protection/>
    </xf>
    <xf numFmtId="1" fontId="2" fillId="0" borderId="16" xfId="288" applyNumberFormat="1" applyFont="1" applyBorder="1" applyAlignment="1">
      <alignment horizontal="right" vertical="center"/>
      <protection/>
    </xf>
    <xf numFmtId="1" fontId="6" fillId="0" borderId="16" xfId="288" applyNumberFormat="1" applyFont="1" applyBorder="1" applyAlignment="1">
      <alignment horizontal="center" vertical="center"/>
      <protection/>
    </xf>
    <xf numFmtId="1" fontId="6" fillId="0" borderId="16" xfId="288" applyNumberFormat="1" applyFont="1" applyBorder="1" applyAlignment="1">
      <alignment vertical="center" wrapText="1"/>
      <protection/>
    </xf>
    <xf numFmtId="1" fontId="6" fillId="0" borderId="16" xfId="288" applyNumberFormat="1" applyFont="1" applyBorder="1" applyAlignment="1">
      <alignment horizontal="center" vertical="center" wrapText="1"/>
      <protection/>
    </xf>
    <xf numFmtId="1" fontId="6" fillId="0" borderId="16" xfId="288" applyNumberFormat="1" applyFont="1" applyBorder="1" applyAlignment="1">
      <alignment horizontal="right" vertical="center"/>
      <protection/>
    </xf>
    <xf numFmtId="1" fontId="7" fillId="0" borderId="16" xfId="288" applyNumberFormat="1" applyFont="1" applyBorder="1" applyAlignment="1">
      <alignment horizontal="center" vertical="center"/>
      <protection/>
    </xf>
    <xf numFmtId="1" fontId="7" fillId="0" borderId="19" xfId="288" applyNumberFormat="1" applyFont="1" applyBorder="1" applyAlignment="1">
      <alignment vertical="center" wrapText="1"/>
      <protection/>
    </xf>
    <xf numFmtId="1" fontId="7" fillId="0" borderId="16" xfId="288" applyNumberFormat="1" applyFont="1" applyBorder="1" applyAlignment="1">
      <alignment horizontal="center" vertical="center" wrapText="1"/>
      <protection/>
    </xf>
    <xf numFmtId="1" fontId="7" fillId="0" borderId="16" xfId="288" applyNumberFormat="1" applyFont="1" applyBorder="1" applyAlignment="1">
      <alignment horizontal="right" vertical="center"/>
      <protection/>
    </xf>
    <xf numFmtId="1" fontId="6" fillId="0" borderId="20" xfId="288" applyNumberFormat="1" applyFont="1" applyBorder="1" applyAlignment="1">
      <alignment horizontal="center" vertical="center"/>
      <protection/>
    </xf>
    <xf numFmtId="1" fontId="6" fillId="0" borderId="20" xfId="288" applyNumberFormat="1" applyFont="1" applyBorder="1" applyAlignment="1">
      <alignment vertical="center" wrapText="1"/>
      <protection/>
    </xf>
    <xf numFmtId="1" fontId="6" fillId="0" borderId="20" xfId="288" applyNumberFormat="1" applyFont="1" applyBorder="1" applyAlignment="1">
      <alignment horizontal="center" vertical="center" wrapText="1"/>
      <protection/>
    </xf>
    <xf numFmtId="1" fontId="6" fillId="0" borderId="20" xfId="288" applyNumberFormat="1" applyFont="1" applyBorder="1" applyAlignment="1">
      <alignment horizontal="right" vertical="center"/>
      <protection/>
    </xf>
    <xf numFmtId="1" fontId="17" fillId="0" borderId="0" xfId="288" applyNumberFormat="1" applyFont="1" applyAlignment="1">
      <alignment horizontal="center" vertical="center"/>
      <protection/>
    </xf>
    <xf numFmtId="1" fontId="21" fillId="0" borderId="0" xfId="288" applyNumberFormat="1" applyFont="1" applyAlignment="1">
      <alignment vertical="center" wrapText="1"/>
      <protection/>
    </xf>
    <xf numFmtId="1" fontId="6" fillId="0" borderId="0" xfId="288" applyNumberFormat="1" applyFont="1" applyAlignment="1">
      <alignment horizontal="left" vertical="center" wrapText="1"/>
      <protection/>
    </xf>
    <xf numFmtId="1" fontId="22" fillId="0" borderId="0" xfId="288" applyNumberFormat="1" applyFont="1" applyAlignment="1">
      <alignment vertical="center"/>
      <protection/>
    </xf>
    <xf numFmtId="1" fontId="23" fillId="0" borderId="0" xfId="288" applyNumberFormat="1" applyFont="1" applyAlignment="1">
      <alignment horizontal="center" vertical="center"/>
      <protection/>
    </xf>
    <xf numFmtId="1" fontId="23" fillId="0" borderId="0" xfId="288" applyNumberFormat="1" applyFont="1" applyAlignment="1">
      <alignment vertical="center" wrapText="1"/>
      <protection/>
    </xf>
    <xf numFmtId="1" fontId="23" fillId="0" borderId="0" xfId="288" applyNumberFormat="1" applyFont="1" applyAlignment="1">
      <alignment horizontal="center" vertical="center" wrapText="1"/>
      <protection/>
    </xf>
    <xf numFmtId="1" fontId="23" fillId="0" borderId="0" xfId="288" applyNumberFormat="1" applyFont="1" applyAlignment="1">
      <alignment horizontal="right" vertical="center"/>
      <protection/>
    </xf>
    <xf numFmtId="1" fontId="23" fillId="0" borderId="0" xfId="288" applyNumberFormat="1" applyFont="1" applyAlignment="1">
      <alignment vertical="center"/>
      <protection/>
    </xf>
    <xf numFmtId="1" fontId="2" fillId="0" borderId="0" xfId="288" applyNumberFormat="1" applyFont="1" applyAlignment="1">
      <alignment vertical="center" wrapText="1"/>
      <protection/>
    </xf>
    <xf numFmtId="0" fontId="0" fillId="0" borderId="0" xfId="0" applyAlignment="1">
      <alignment vertical="center" wrapText="1"/>
    </xf>
    <xf numFmtId="0" fontId="2" fillId="0" borderId="0" xfId="0" applyFont="1" applyAlignment="1">
      <alignment vertical="center"/>
    </xf>
    <xf numFmtId="0" fontId="5" fillId="0" borderId="0" xfId="0" applyFont="1" applyAlignment="1">
      <alignment vertical="center" wrapText="1"/>
    </xf>
    <xf numFmtId="0" fontId="5" fillId="0" borderId="10" xfId="212" applyFont="1" applyBorder="1" applyAlignment="1">
      <alignment horizontal="center" vertical="center" wrapText="1"/>
      <protection/>
    </xf>
    <xf numFmtId="0" fontId="5" fillId="0" borderId="10" xfId="212" applyFont="1" applyBorder="1" applyAlignment="1">
      <alignment horizontal="left" vertical="center" wrapText="1"/>
      <protection/>
    </xf>
    <xf numFmtId="0" fontId="0" fillId="0" borderId="10" xfId="212" applyFont="1" applyBorder="1" applyAlignment="1">
      <alignment horizontal="center" vertical="center" wrapText="1"/>
      <protection/>
    </xf>
    <xf numFmtId="0" fontId="4" fillId="0" borderId="10" xfId="212" applyFont="1" applyBorder="1" applyAlignment="1">
      <alignment vertical="center" wrapText="1"/>
      <protection/>
    </xf>
    <xf numFmtId="0" fontId="0" fillId="30" borderId="21" xfId="0" applyFont="1" applyFill="1" applyBorder="1" applyAlignment="1">
      <alignment vertical="center" wrapText="1"/>
    </xf>
    <xf numFmtId="0" fontId="0" fillId="30" borderId="0" xfId="0" applyFont="1" applyFill="1" applyAlignment="1">
      <alignment vertical="center" wrapText="1"/>
    </xf>
    <xf numFmtId="0" fontId="0" fillId="0" borderId="10" xfId="0" applyFont="1" applyBorder="1" applyAlignment="1">
      <alignment vertical="center" wrapText="1"/>
    </xf>
    <xf numFmtId="0" fontId="4" fillId="0" borderId="10" xfId="0" applyFont="1" applyBorder="1" applyAlignment="1">
      <alignment vertical="center" wrapText="1"/>
    </xf>
    <xf numFmtId="0" fontId="0" fillId="0" borderId="10" xfId="0" applyFont="1" applyBorder="1" applyAlignment="1">
      <alignment horizontal="center" vertical="center"/>
    </xf>
    <xf numFmtId="1" fontId="6" fillId="0" borderId="16" xfId="288" applyNumberFormat="1" applyFont="1" applyBorder="1" applyAlignment="1" quotePrefix="1">
      <alignment vertical="center" wrapText="1"/>
      <protection/>
    </xf>
    <xf numFmtId="1" fontId="0" fillId="0" borderId="16" xfId="288" applyNumberFormat="1" applyFont="1" applyBorder="1" applyAlignment="1" quotePrefix="1">
      <alignment vertical="center" wrapText="1"/>
      <protection/>
    </xf>
    <xf numFmtId="0" fontId="8" fillId="0" borderId="10" xfId="0" applyFont="1" applyBorder="1" applyAlignment="1" quotePrefix="1">
      <alignment vertical="center"/>
    </xf>
    <xf numFmtId="0" fontId="4" fillId="0" borderId="10" xfId="0" applyFont="1" applyBorder="1" applyAlignment="1" quotePrefix="1">
      <alignment vertical="center"/>
    </xf>
    <xf numFmtId="0" fontId="0" fillId="0" borderId="10" xfId="0" applyBorder="1" applyAlignment="1" quotePrefix="1">
      <alignment vertical="center"/>
    </xf>
    <xf numFmtId="0" fontId="4" fillId="0" borderId="10" xfId="212" applyFont="1" applyBorder="1" applyAlignment="1">
      <alignment horizontal="left" vertical="center" wrapText="1" indent="1"/>
      <protection/>
    </xf>
    <xf numFmtId="0" fontId="4" fillId="0" borderId="10" xfId="212" applyFont="1" applyBorder="1" applyAlignment="1">
      <alignment horizontal="center" vertical="center" wrapText="1"/>
      <protection/>
    </xf>
    <xf numFmtId="0" fontId="0" fillId="0" borderId="0" xfId="0" applyFont="1" applyAlignment="1">
      <alignment vertical="center"/>
    </xf>
    <xf numFmtId="0" fontId="0" fillId="0" borderId="10" xfId="0" applyFont="1" applyBorder="1" applyAlignment="1" quotePrefix="1">
      <alignment horizontal="center" vertical="center"/>
    </xf>
    <xf numFmtId="0" fontId="0" fillId="0" borderId="21" xfId="0" applyFont="1" applyBorder="1" applyAlignment="1">
      <alignment vertical="center"/>
    </xf>
    <xf numFmtId="0" fontId="0" fillId="0" borderId="0" xfId="212" applyFont="1" applyAlignment="1">
      <alignment horizontal="center" vertical="center" wrapText="1"/>
      <protection/>
    </xf>
    <xf numFmtId="0" fontId="0" fillId="0" borderId="0" xfId="212" applyFont="1" applyAlignment="1">
      <alignment vertical="center" wrapText="1"/>
      <protection/>
    </xf>
    <xf numFmtId="191" fontId="0" fillId="0" borderId="0" xfId="0" applyNumberFormat="1" applyAlignment="1">
      <alignment vertical="center"/>
    </xf>
    <xf numFmtId="0" fontId="24" fillId="0" borderId="0" xfId="0" applyFont="1" applyAlignment="1">
      <alignment vertical="center"/>
    </xf>
    <xf numFmtId="0" fontId="25"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vertical="center"/>
    </xf>
    <xf numFmtId="0" fontId="0" fillId="0" borderId="10" xfId="0" applyBorder="1" applyAlignment="1">
      <alignment horizontal="center" vertical="center" wrapText="1"/>
    </xf>
    <xf numFmtId="0" fontId="0" fillId="0" borderId="10" xfId="0" applyFont="1" applyBorder="1" applyAlignment="1">
      <alignment vertical="center"/>
    </xf>
    <xf numFmtId="1" fontId="30" fillId="0" borderId="0" xfId="288" applyNumberFormat="1" applyFont="1" applyAlignment="1">
      <alignment vertical="center"/>
      <protection/>
    </xf>
    <xf numFmtId="1" fontId="30" fillId="0" borderId="0" xfId="288" applyNumberFormat="1" applyFont="1" applyAlignment="1">
      <alignment horizontal="right" vertical="center"/>
      <protection/>
    </xf>
    <xf numFmtId="0" fontId="0" fillId="0" borderId="21" xfId="0" applyBorder="1" applyAlignment="1">
      <alignment horizontal="center" vertical="center"/>
    </xf>
    <xf numFmtId="0" fontId="0" fillId="0" borderId="21" xfId="0" applyBorder="1" applyAlignment="1">
      <alignment vertical="center"/>
    </xf>
    <xf numFmtId="0" fontId="27" fillId="0" borderId="0" xfId="0" applyFont="1" applyAlignment="1">
      <alignment vertical="center"/>
    </xf>
    <xf numFmtId="0" fontId="0" fillId="0" borderId="0" xfId="0" applyAlignment="1">
      <alignment horizontal="left" vertical="center"/>
    </xf>
    <xf numFmtId="43" fontId="0" fillId="0" borderId="0" xfId="0" applyNumberFormat="1" applyFont="1" applyAlignment="1">
      <alignment vertical="center"/>
    </xf>
    <xf numFmtId="0" fontId="4" fillId="0" borderId="10" xfId="0" applyFont="1" applyBorder="1" applyAlignment="1" quotePrefix="1">
      <alignment vertical="center" wrapText="1"/>
    </xf>
    <xf numFmtId="0" fontId="5" fillId="0" borderId="22" xfId="0" applyFont="1" applyBorder="1" applyAlignment="1">
      <alignment horizontal="center" vertical="center" wrapText="1"/>
    </xf>
    <xf numFmtId="0" fontId="6" fillId="0" borderId="0" xfId="265" applyFont="1" applyAlignment="1">
      <alignment vertical="center"/>
      <protection/>
    </xf>
    <xf numFmtId="0" fontId="2" fillId="0" borderId="0" xfId="265" applyFont="1" applyAlignment="1">
      <alignment vertical="center"/>
      <protection/>
    </xf>
    <xf numFmtId="0" fontId="5" fillId="0" borderId="0" xfId="265" applyFont="1" applyAlignment="1">
      <alignment vertical="center"/>
      <protection/>
    </xf>
    <xf numFmtId="1" fontId="3" fillId="0" borderId="0" xfId="288" applyNumberFormat="1" applyFont="1" applyAlignment="1">
      <alignment horizontal="center" vertical="center"/>
      <protection/>
    </xf>
    <xf numFmtId="191" fontId="0" fillId="0" borderId="0" xfId="134" applyNumberFormat="1" applyFont="1" applyAlignment="1">
      <alignment vertical="center"/>
    </xf>
    <xf numFmtId="0" fontId="5" fillId="0" borderId="0" xfId="206" applyFont="1" applyAlignment="1">
      <alignment vertical="center" wrapText="1"/>
      <protection/>
    </xf>
    <xf numFmtId="0" fontId="5" fillId="0" borderId="0" xfId="0" applyFont="1" applyAlignment="1">
      <alignment horizontal="center" vertical="center"/>
    </xf>
    <xf numFmtId="43" fontId="5" fillId="0" borderId="0" xfId="91" applyFont="1" applyAlignment="1">
      <alignment horizontal="center" vertical="center"/>
    </xf>
    <xf numFmtId="43" fontId="5" fillId="0" borderId="10" xfId="91" applyFont="1" applyBorder="1" applyAlignment="1">
      <alignment horizontal="center" vertical="center" wrapText="1"/>
    </xf>
    <xf numFmtId="0" fontId="0" fillId="0" borderId="10" xfId="0" applyFont="1" applyBorder="1" applyAlignment="1">
      <alignment horizontal="center" vertical="center" wrapText="1"/>
    </xf>
    <xf numFmtId="43" fontId="0" fillId="0" borderId="10" xfId="91" applyFont="1" applyBorder="1" applyAlignment="1">
      <alignment horizontal="center" vertical="center" wrapText="1"/>
    </xf>
    <xf numFmtId="0" fontId="0" fillId="0" borderId="0" xfId="0" applyFont="1" applyAlignment="1">
      <alignment horizontal="center" vertical="center" wrapText="1"/>
    </xf>
    <xf numFmtId="0" fontId="5" fillId="0" borderId="10" xfId="0" applyFont="1" applyBorder="1" applyAlignment="1">
      <alignment horizontal="left" vertical="center" wrapText="1"/>
    </xf>
    <xf numFmtId="2" fontId="5" fillId="0" borderId="0" xfId="0" applyNumberFormat="1" applyFont="1" applyAlignment="1">
      <alignment vertical="center"/>
    </xf>
    <xf numFmtId="43" fontId="5" fillId="0" borderId="0" xfId="0" applyNumberFormat="1" applyFont="1" applyAlignment="1">
      <alignment vertical="center"/>
    </xf>
    <xf numFmtId="2" fontId="0" fillId="0" borderId="0" xfId="0" applyNumberFormat="1" applyFont="1" applyAlignment="1">
      <alignment vertical="center"/>
    </xf>
    <xf numFmtId="0" fontId="0" fillId="0" borderId="10" xfId="204" applyFont="1" applyBorder="1" applyAlignment="1" quotePrefix="1">
      <alignment vertical="center" wrapText="1"/>
      <protection/>
    </xf>
    <xf numFmtId="0" fontId="0" fillId="0" borderId="10" xfId="0" applyFont="1" applyBorder="1" applyAlignment="1" quotePrefix="1">
      <alignment horizontal="left" vertical="center" wrapText="1"/>
    </xf>
    <xf numFmtId="43" fontId="4" fillId="0" borderId="10" xfId="91" applyFont="1" applyBorder="1" applyAlignment="1">
      <alignment horizontal="center" vertical="center"/>
    </xf>
    <xf numFmtId="0" fontId="0" fillId="0" borderId="0" xfId="0" applyFont="1" applyAlignment="1">
      <alignment horizontal="center" vertical="center"/>
    </xf>
    <xf numFmtId="43" fontId="0" fillId="0" borderId="0" xfId="91" applyFont="1" applyAlignment="1">
      <alignment horizontal="center" vertical="center"/>
    </xf>
    <xf numFmtId="0" fontId="0" fillId="0" borderId="10" xfId="212" applyFont="1" applyBorder="1" applyAlignment="1">
      <alignment horizontal="center" vertical="center" wrapText="1"/>
      <protection/>
    </xf>
    <xf numFmtId="0" fontId="7" fillId="0" borderId="0" xfId="265" applyFont="1" applyAlignment="1">
      <alignment horizontal="right" vertical="center"/>
      <protection/>
    </xf>
    <xf numFmtId="0" fontId="2" fillId="0" borderId="0" xfId="265" applyFont="1" applyAlignment="1">
      <alignment horizontal="center" vertical="center"/>
      <protection/>
    </xf>
    <xf numFmtId="0" fontId="5" fillId="0" borderId="10" xfId="265" applyFont="1" applyBorder="1" applyAlignment="1">
      <alignment horizontal="center" vertical="center"/>
      <protection/>
    </xf>
    <xf numFmtId="0" fontId="5" fillId="0" borderId="10" xfId="265" applyFont="1" applyBorder="1" applyAlignment="1">
      <alignment vertical="center" wrapText="1"/>
      <protection/>
    </xf>
    <xf numFmtId="0" fontId="5" fillId="0" borderId="10" xfId="265" applyFont="1" applyBorder="1" applyAlignment="1">
      <alignment vertical="center"/>
      <protection/>
    </xf>
    <xf numFmtId="4" fontId="5" fillId="0" borderId="10" xfId="265" applyNumberFormat="1" applyFont="1" applyBorder="1" applyAlignment="1">
      <alignment vertical="center"/>
      <protection/>
    </xf>
    <xf numFmtId="0" fontId="4" fillId="0" borderId="10" xfId="265" applyFont="1" applyBorder="1" applyAlignment="1">
      <alignment vertical="center" wrapText="1"/>
      <protection/>
    </xf>
    <xf numFmtId="0" fontId="4" fillId="0" borderId="10" xfId="265" applyFont="1" applyBorder="1" applyAlignment="1">
      <alignment horizontal="center" vertical="center"/>
      <protection/>
    </xf>
    <xf numFmtId="3" fontId="0" fillId="0" borderId="10" xfId="0" applyNumberFormat="1" applyFont="1" applyBorder="1" applyAlignment="1">
      <alignment horizontal="right" vertical="center"/>
    </xf>
    <xf numFmtId="4" fontId="0" fillId="0" borderId="10" xfId="0" applyNumberFormat="1" applyFont="1" applyBorder="1" applyAlignment="1">
      <alignment horizontal="right" vertical="center"/>
    </xf>
    <xf numFmtId="0" fontId="0" fillId="0" borderId="10" xfId="0" applyBorder="1" applyAlignment="1">
      <alignment horizontal="right" vertical="center"/>
    </xf>
    <xf numFmtId="0" fontId="0" fillId="0" borderId="10" xfId="248" applyFont="1" applyBorder="1" applyAlignment="1">
      <alignment horizontal="right" vertical="center" wrapText="1"/>
      <protection/>
    </xf>
    <xf numFmtId="182" fontId="0" fillId="0" borderId="10" xfId="95" applyNumberFormat="1" applyFont="1" applyBorder="1" applyAlignment="1">
      <alignment horizontal="right" vertical="center" wrapText="1"/>
    </xf>
    <xf numFmtId="0" fontId="4" fillId="0" borderId="10" xfId="248" applyFont="1" applyBorder="1" applyAlignment="1">
      <alignment horizontal="right" vertical="center" wrapText="1"/>
      <protection/>
    </xf>
    <xf numFmtId="0" fontId="4" fillId="0" borderId="10" xfId="0" applyFont="1" applyBorder="1" applyAlignment="1">
      <alignment horizontal="right" vertical="center" wrapText="1"/>
    </xf>
    <xf numFmtId="182" fontId="4" fillId="0" borderId="10" xfId="0" applyNumberFormat="1" applyFont="1" applyBorder="1" applyAlignment="1">
      <alignment horizontal="right" vertical="center" wrapText="1"/>
    </xf>
    <xf numFmtId="0" fontId="5" fillId="0" borderId="10" xfId="0" applyFont="1" applyBorder="1" applyAlignment="1">
      <alignment horizontal="right" vertical="center" wrapText="1"/>
    </xf>
    <xf numFmtId="0" fontId="0" fillId="0" borderId="10" xfId="0" applyFont="1" applyBorder="1" applyAlignment="1">
      <alignment horizontal="right" vertical="center" wrapText="1"/>
    </xf>
    <xf numFmtId="191" fontId="4" fillId="0" borderId="10" xfId="0" applyNumberFormat="1" applyFont="1" applyBorder="1" applyAlignment="1">
      <alignment horizontal="right" vertical="center" wrapText="1"/>
    </xf>
    <xf numFmtId="191" fontId="0" fillId="0" borderId="10" xfId="0" applyNumberFormat="1" applyFont="1" applyBorder="1" applyAlignment="1">
      <alignment horizontal="right" vertical="center" wrapText="1"/>
    </xf>
    <xf numFmtId="0" fontId="0" fillId="0" borderId="10" xfId="0" applyFont="1" applyBorder="1" applyAlignment="1">
      <alignment horizontal="left" vertical="center" wrapText="1"/>
    </xf>
    <xf numFmtId="171" fontId="0" fillId="0" borderId="10" xfId="95" applyFont="1" applyBorder="1" applyAlignment="1">
      <alignment horizontal="right" vertical="center" wrapText="1"/>
    </xf>
    <xf numFmtId="3" fontId="0" fillId="0" borderId="10" xfId="0" applyNumberFormat="1" applyBorder="1" applyAlignment="1">
      <alignment horizontal="right" vertical="center"/>
    </xf>
    <xf numFmtId="4" fontId="0" fillId="0" borderId="10" xfId="0" applyNumberFormat="1" applyBorder="1" applyAlignment="1">
      <alignment horizontal="right" vertical="center"/>
    </xf>
    <xf numFmtId="0" fontId="5" fillId="0" borderId="10" xfId="0" applyFont="1" applyBorder="1" applyAlignment="1">
      <alignment horizontal="right" vertical="center"/>
    </xf>
    <xf numFmtId="3" fontId="5" fillId="0" borderId="10" xfId="0" applyNumberFormat="1" applyFont="1" applyBorder="1" applyAlignment="1">
      <alignment horizontal="right" vertical="center"/>
    </xf>
    <xf numFmtId="0" fontId="0" fillId="0" borderId="10" xfId="0" applyFont="1" applyBorder="1" applyAlignment="1">
      <alignment horizontal="right" vertical="center"/>
    </xf>
    <xf numFmtId="0" fontId="0" fillId="0" borderId="21" xfId="0" applyBorder="1" applyAlignment="1">
      <alignment horizontal="right" vertical="center"/>
    </xf>
    <xf numFmtId="3" fontId="0" fillId="0" borderId="21" xfId="0" applyNumberFormat="1" applyBorder="1" applyAlignment="1">
      <alignment horizontal="right" vertical="center"/>
    </xf>
    <xf numFmtId="0" fontId="5" fillId="0" borderId="21" xfId="0" applyFont="1" applyBorder="1" applyAlignment="1">
      <alignment horizontal="right" vertical="center"/>
    </xf>
    <xf numFmtId="4" fontId="0" fillId="0" borderId="0" xfId="0" applyNumberFormat="1" applyFont="1" applyAlignment="1">
      <alignment vertical="center"/>
    </xf>
    <xf numFmtId="0" fontId="5" fillId="0" borderId="0" xfId="265" applyFont="1" applyAlignment="1">
      <alignment horizontal="center" vertical="center"/>
      <protection/>
    </xf>
    <xf numFmtId="0" fontId="50" fillId="0" borderId="0" xfId="253" applyFont="1" applyAlignment="1">
      <alignment vertical="center"/>
      <protection/>
    </xf>
    <xf numFmtId="0" fontId="0" fillId="0" borderId="0" xfId="253" applyFont="1" applyAlignment="1">
      <alignment vertical="center"/>
      <protection/>
    </xf>
    <xf numFmtId="0" fontId="50" fillId="0" borderId="0" xfId="253" applyFont="1" applyAlignment="1">
      <alignment vertical="center" wrapText="1"/>
      <protection/>
    </xf>
    <xf numFmtId="0" fontId="12" fillId="0" borderId="0" xfId="253" applyFont="1" applyAlignment="1">
      <alignment vertical="center" wrapText="1"/>
      <protection/>
    </xf>
    <xf numFmtId="0" fontId="53" fillId="0" borderId="0" xfId="253" applyFont="1" applyAlignment="1">
      <alignment vertical="center"/>
      <protection/>
    </xf>
    <xf numFmtId="0" fontId="11" fillId="0" borderId="0" xfId="253" applyFont="1" applyAlignment="1">
      <alignment vertical="center"/>
      <protection/>
    </xf>
    <xf numFmtId="0" fontId="12" fillId="0" borderId="0" xfId="253" applyFont="1" applyAlignment="1">
      <alignment vertical="center"/>
      <protection/>
    </xf>
    <xf numFmtId="0" fontId="57" fillId="0" borderId="0" xfId="253" applyFont="1" applyAlignment="1">
      <alignment vertical="center"/>
      <protection/>
    </xf>
    <xf numFmtId="0" fontId="54" fillId="0" borderId="0" xfId="253" applyFont="1" applyAlignment="1">
      <alignment vertical="center"/>
      <protection/>
    </xf>
    <xf numFmtId="0" fontId="58" fillId="0" borderId="0" xfId="253" applyFont="1" applyAlignment="1">
      <alignment vertical="center"/>
      <protection/>
    </xf>
    <xf numFmtId="182" fontId="12" fillId="0" borderId="0" xfId="95" applyNumberFormat="1" applyFont="1" applyAlignment="1">
      <alignment vertical="center" wrapText="1"/>
    </xf>
    <xf numFmtId="182" fontId="0" fillId="0" borderId="0" xfId="95" applyNumberFormat="1" applyFont="1" applyAlignment="1">
      <alignment vertical="center" wrapText="1"/>
    </xf>
    <xf numFmtId="0" fontId="53" fillId="0" borderId="0" xfId="195" applyFont="1">
      <alignment/>
      <protection/>
    </xf>
    <xf numFmtId="0" fontId="5" fillId="0" borderId="0" xfId="195" applyFont="1" applyAlignment="1">
      <alignment horizontal="left"/>
      <protection/>
    </xf>
    <xf numFmtId="0" fontId="5" fillId="0" borderId="0" xfId="195" applyFont="1">
      <alignment/>
      <protection/>
    </xf>
    <xf numFmtId="0" fontId="12" fillId="0" borderId="0" xfId="195" applyFont="1">
      <alignment/>
      <protection/>
    </xf>
    <xf numFmtId="0" fontId="49" fillId="0" borderId="0" xfId="195" applyFont="1">
      <alignment/>
      <protection/>
    </xf>
    <xf numFmtId="0" fontId="12" fillId="0" borderId="0" xfId="195" applyFont="1" applyAlignment="1">
      <alignment vertical="center"/>
      <protection/>
    </xf>
    <xf numFmtId="0" fontId="60" fillId="0" borderId="0" xfId="195" applyFont="1" applyAlignment="1">
      <alignment vertical="center"/>
      <protection/>
    </xf>
    <xf numFmtId="3" fontId="12" fillId="0" borderId="0" xfId="195" applyNumberFormat="1" applyFont="1" applyAlignment="1">
      <alignment vertical="center"/>
      <protection/>
    </xf>
    <xf numFmtId="0" fontId="11" fillId="0" borderId="0" xfId="195" applyFont="1" applyAlignment="1">
      <alignment vertical="center"/>
      <protection/>
    </xf>
    <xf numFmtId="0" fontId="51" fillId="0" borderId="0" xfId="195" applyFont="1" applyAlignment="1">
      <alignment vertical="center"/>
      <protection/>
    </xf>
    <xf numFmtId="1" fontId="12" fillId="0" borderId="0" xfId="195" applyNumberFormat="1" applyFont="1" applyAlignment="1">
      <alignment vertical="center"/>
      <protection/>
    </xf>
    <xf numFmtId="0" fontId="12" fillId="0" borderId="0" xfId="195" applyFont="1" applyAlignment="1">
      <alignment horizontal="left"/>
      <protection/>
    </xf>
    <xf numFmtId="0" fontId="11" fillId="0" borderId="0" xfId="195" applyFont="1">
      <alignment/>
      <protection/>
    </xf>
    <xf numFmtId="0" fontId="3" fillId="0" borderId="0" xfId="195" applyFont="1">
      <alignment/>
      <protection/>
    </xf>
    <xf numFmtId="0" fontId="0" fillId="0" borderId="0" xfId="195" applyFont="1">
      <alignment/>
      <protection/>
    </xf>
    <xf numFmtId="0" fontId="0" fillId="0" borderId="0" xfId="195" applyFont="1" applyAlignment="1">
      <alignment vertical="center"/>
      <protection/>
    </xf>
    <xf numFmtId="0" fontId="61" fillId="0" borderId="0" xfId="195" applyFont="1" applyAlignment="1">
      <alignment vertical="center"/>
      <protection/>
    </xf>
    <xf numFmtId="0" fontId="62" fillId="0" borderId="0" xfId="195" applyFont="1" applyAlignment="1">
      <alignment vertical="center"/>
      <protection/>
    </xf>
    <xf numFmtId="0" fontId="50" fillId="0" borderId="0" xfId="195" applyFont="1" applyAlignment="1">
      <alignment vertical="center" wrapText="1"/>
      <protection/>
    </xf>
    <xf numFmtId="0" fontId="0" fillId="0" borderId="0" xfId="195" applyFont="1" applyAlignment="1">
      <alignment horizontal="center"/>
      <protection/>
    </xf>
    <xf numFmtId="198" fontId="10" fillId="0" borderId="0" xfId="195" applyNumberFormat="1" applyFont="1">
      <alignment/>
      <protection/>
    </xf>
    <xf numFmtId="2" fontId="12" fillId="0" borderId="0" xfId="195" applyNumberFormat="1" applyFont="1">
      <alignment/>
      <protection/>
    </xf>
    <xf numFmtId="188" fontId="12" fillId="0" borderId="0" xfId="195" applyNumberFormat="1" applyFont="1">
      <alignment/>
      <protection/>
    </xf>
    <xf numFmtId="49" fontId="12" fillId="0" borderId="16" xfId="195" applyNumberFormat="1" applyFont="1" applyBorder="1" applyAlignment="1">
      <alignment horizontal="center" vertical="center" wrapText="1"/>
      <protection/>
    </xf>
    <xf numFmtId="0" fontId="12" fillId="0" borderId="16" xfId="195" applyFont="1" applyBorder="1" applyAlignment="1">
      <alignment horizontal="left" vertical="center" wrapText="1"/>
      <protection/>
    </xf>
    <xf numFmtId="0" fontId="12" fillId="0" borderId="16" xfId="195" applyFont="1" applyBorder="1" applyAlignment="1">
      <alignment horizontal="center" vertical="center" wrapText="1"/>
      <protection/>
    </xf>
    <xf numFmtId="2" fontId="12" fillId="0" borderId="16" xfId="195" applyNumberFormat="1" applyFont="1" applyBorder="1" applyAlignment="1">
      <alignment horizontal="left" vertical="center" wrapText="1"/>
      <protection/>
    </xf>
    <xf numFmtId="0" fontId="12" fillId="0" borderId="16" xfId="207" applyFont="1" applyBorder="1" applyAlignment="1">
      <alignment horizontal="left" vertical="center" wrapText="1"/>
      <protection/>
    </xf>
    <xf numFmtId="0" fontId="0" fillId="30" borderId="0" xfId="297" applyFont="1" applyFill="1" applyAlignment="1">
      <alignment vertical="center"/>
      <protection/>
    </xf>
    <xf numFmtId="0" fontId="0" fillId="30" borderId="0" xfId="297" applyFont="1" applyFill="1" applyAlignment="1">
      <alignment horizontal="center" vertical="center"/>
      <protection/>
    </xf>
    <xf numFmtId="0" fontId="0" fillId="30" borderId="0" xfId="297" applyFont="1" applyFill="1" applyAlignment="1">
      <alignment vertical="center"/>
      <protection/>
    </xf>
    <xf numFmtId="1" fontId="3" fillId="0" borderId="0" xfId="288" applyNumberFormat="1" applyFont="1" applyAlignment="1">
      <alignment vertical="center" wrapText="1"/>
      <protection/>
    </xf>
    <xf numFmtId="0" fontId="4" fillId="30" borderId="0" xfId="297" applyFont="1" applyFill="1" applyAlignment="1">
      <alignment horizontal="center" vertical="center"/>
      <protection/>
    </xf>
    <xf numFmtId="49" fontId="0" fillId="30" borderId="22" xfId="297" applyNumberFormat="1" applyFont="1" applyFill="1" applyBorder="1" applyAlignment="1">
      <alignment horizontal="center" vertical="center" wrapText="1"/>
      <protection/>
    </xf>
    <xf numFmtId="0" fontId="5" fillId="30" borderId="10" xfId="297" applyFont="1" applyFill="1" applyBorder="1" applyAlignment="1">
      <alignment horizontal="center" vertical="center"/>
      <protection/>
    </xf>
    <xf numFmtId="0" fontId="0" fillId="30" borderId="10" xfId="297" applyFont="1" applyFill="1" applyBorder="1" applyAlignment="1">
      <alignment vertical="center"/>
      <protection/>
    </xf>
    <xf numFmtId="3" fontId="5" fillId="30" borderId="10" xfId="297" applyNumberFormat="1" applyFont="1" applyFill="1" applyBorder="1" applyAlignment="1">
      <alignment horizontal="center" vertical="center"/>
      <protection/>
    </xf>
    <xf numFmtId="0" fontId="5" fillId="30" borderId="10" xfId="297" applyFont="1" applyFill="1" applyBorder="1" applyAlignment="1">
      <alignment vertical="center"/>
      <protection/>
    </xf>
    <xf numFmtId="0" fontId="5" fillId="30" borderId="0" xfId="297" applyFont="1" applyFill="1" applyAlignment="1">
      <alignment vertical="center"/>
      <protection/>
    </xf>
    <xf numFmtId="0" fontId="0" fillId="30" borderId="10" xfId="297" applyFont="1" applyFill="1" applyBorder="1" applyAlignment="1" quotePrefix="1">
      <alignment horizontal="center" vertical="center"/>
      <protection/>
    </xf>
    <xf numFmtId="0" fontId="0" fillId="30" borderId="10" xfId="297" applyFont="1" applyFill="1" applyBorder="1" applyAlignment="1">
      <alignment vertical="center" wrapText="1"/>
      <protection/>
    </xf>
    <xf numFmtId="3" fontId="0" fillId="30" borderId="10" xfId="297" applyNumberFormat="1" applyFont="1" applyFill="1" applyBorder="1" applyAlignment="1">
      <alignment horizontal="center" vertical="center"/>
      <protection/>
    </xf>
    <xf numFmtId="49" fontId="5" fillId="30" borderId="10" xfId="297" applyNumberFormat="1" applyFont="1" applyFill="1" applyBorder="1" applyAlignment="1">
      <alignment vertical="center"/>
      <protection/>
    </xf>
    <xf numFmtId="0" fontId="0" fillId="30" borderId="0" xfId="297" applyFont="1" applyFill="1" applyAlignment="1">
      <alignment horizontal="center" vertical="center"/>
      <protection/>
    </xf>
    <xf numFmtId="49" fontId="0" fillId="30" borderId="0" xfId="297" applyNumberFormat="1" applyFont="1" applyFill="1" applyAlignment="1">
      <alignment vertical="center"/>
      <protection/>
    </xf>
    <xf numFmtId="0" fontId="8" fillId="0" borderId="10" xfId="0" applyFont="1" applyBorder="1" applyAlignment="1">
      <alignment horizontal="center" vertical="center"/>
    </xf>
    <xf numFmtId="2" fontId="8" fillId="0" borderId="0" xfId="0" applyNumberFormat="1" applyFont="1" applyAlignment="1">
      <alignment vertical="center"/>
    </xf>
    <xf numFmtId="0" fontId="8" fillId="0" borderId="0" xfId="0" applyFont="1" applyAlignment="1">
      <alignment vertical="center"/>
    </xf>
    <xf numFmtId="43" fontId="8" fillId="0" borderId="0" xfId="0" applyNumberFormat="1" applyFont="1" applyAlignment="1">
      <alignment vertical="center"/>
    </xf>
    <xf numFmtId="2" fontId="4" fillId="0" borderId="0" xfId="0" applyNumberFormat="1" applyFont="1" applyAlignment="1">
      <alignment vertical="center"/>
    </xf>
    <xf numFmtId="192" fontId="5" fillId="0" borderId="0" xfId="300" applyNumberFormat="1" applyFont="1" applyAlignment="1">
      <alignment vertical="center"/>
    </xf>
    <xf numFmtId="193" fontId="5" fillId="0" borderId="0" xfId="0" applyNumberFormat="1" applyFont="1" applyAlignment="1">
      <alignment vertical="center"/>
    </xf>
    <xf numFmtId="191" fontId="5" fillId="0" borderId="0" xfId="0" applyNumberFormat="1" applyFont="1" applyAlignment="1">
      <alignment vertical="center"/>
    </xf>
    <xf numFmtId="0" fontId="13" fillId="0" borderId="0" xfId="0" applyFont="1" applyAlignment="1">
      <alignment vertical="center"/>
    </xf>
    <xf numFmtId="0" fontId="54" fillId="0" borderId="0" xfId="253" applyFont="1" applyAlignment="1">
      <alignment vertical="center" wrapText="1"/>
      <protection/>
    </xf>
    <xf numFmtId="43" fontId="53" fillId="0" borderId="10" xfId="93" applyFont="1" applyBorder="1" applyAlignment="1">
      <alignment horizontal="center" vertical="center" wrapText="1"/>
    </xf>
    <xf numFmtId="0" fontId="50" fillId="0" borderId="10" xfId="206" applyFont="1" applyBorder="1" applyAlignment="1">
      <alignment horizontal="center" vertical="center" wrapText="1"/>
      <protection/>
    </xf>
    <xf numFmtId="43" fontId="50" fillId="0" borderId="10" xfId="93" applyFont="1" applyBorder="1" applyAlignment="1">
      <alignment horizontal="center" vertical="center" wrapText="1"/>
    </xf>
    <xf numFmtId="0" fontId="53" fillId="0" borderId="0" xfId="206" applyFont="1" applyAlignment="1">
      <alignment vertical="center"/>
      <protection/>
    </xf>
    <xf numFmtId="0" fontId="3" fillId="0" borderId="1" xfId="195" applyFont="1" applyBorder="1" applyAlignment="1">
      <alignment horizontal="center" vertical="center" wrapText="1"/>
      <protection/>
    </xf>
    <xf numFmtId="1" fontId="0" fillId="0" borderId="0" xfId="195" applyNumberFormat="1" applyFont="1" applyAlignment="1">
      <alignment vertical="center"/>
      <protection/>
    </xf>
    <xf numFmtId="49" fontId="11" fillId="0" borderId="0" xfId="291" applyNumberFormat="1" applyFont="1" applyAlignment="1" quotePrefix="1">
      <alignment horizontal="center" vertical="center" wrapText="1"/>
      <protection/>
    </xf>
    <xf numFmtId="49" fontId="11" fillId="0" borderId="0" xfId="291" applyNumberFormat="1" applyFont="1" applyAlignment="1" quotePrefix="1">
      <alignment vertical="center" wrapText="1"/>
      <protection/>
    </xf>
    <xf numFmtId="49" fontId="11" fillId="0" borderId="0" xfId="291" applyNumberFormat="1" applyFont="1" applyAlignment="1" quotePrefix="1">
      <alignment horizontal="right" vertical="center" wrapText="1"/>
      <protection/>
    </xf>
    <xf numFmtId="1" fontId="11" fillId="0" borderId="0" xfId="195" applyNumberFormat="1" applyFont="1" applyAlignment="1">
      <alignment horizontal="right" vertical="center" wrapText="1"/>
      <protection/>
    </xf>
    <xf numFmtId="179" fontId="11" fillId="0" borderId="0" xfId="195" applyNumberFormat="1" applyFont="1" applyAlignment="1">
      <alignment horizontal="right" vertical="center" wrapText="1"/>
      <protection/>
    </xf>
    <xf numFmtId="182" fontId="11" fillId="0" borderId="0" xfId="195" applyNumberFormat="1" applyFont="1" applyAlignment="1">
      <alignment horizontal="right" vertical="center" wrapText="1"/>
      <protection/>
    </xf>
    <xf numFmtId="188" fontId="0" fillId="0" borderId="0" xfId="195" applyNumberFormat="1" applyFont="1">
      <alignment/>
      <protection/>
    </xf>
    <xf numFmtId="0" fontId="11" fillId="0" borderId="23" xfId="195" applyFont="1" applyBorder="1" applyAlignment="1">
      <alignment vertical="center" wrapText="1"/>
      <protection/>
    </xf>
    <xf numFmtId="0" fontId="11" fillId="0" borderId="16" xfId="195" applyFont="1" applyBorder="1" applyAlignment="1">
      <alignment vertical="center" wrapText="1"/>
      <protection/>
    </xf>
    <xf numFmtId="176" fontId="12" fillId="0" borderId="16" xfId="195" applyNumberFormat="1" applyFont="1" applyBorder="1" applyAlignment="1">
      <alignment vertical="center"/>
      <protection/>
    </xf>
    <xf numFmtId="3" fontId="12" fillId="0" borderId="16" xfId="195" applyNumberFormat="1" applyFont="1" applyBorder="1" applyAlignment="1">
      <alignment vertical="center" wrapText="1"/>
      <protection/>
    </xf>
    <xf numFmtId="0" fontId="12" fillId="0" borderId="16" xfId="195" applyFont="1" applyBorder="1" applyAlignment="1">
      <alignment vertical="center" wrapText="1"/>
      <protection/>
    </xf>
    <xf numFmtId="1" fontId="12" fillId="0" borderId="16" xfId="195" applyNumberFormat="1" applyFont="1" applyBorder="1" applyAlignment="1">
      <alignment vertical="center" wrapText="1"/>
      <protection/>
    </xf>
    <xf numFmtId="2" fontId="51" fillId="0" borderId="16" xfId="195" applyNumberFormat="1" applyFont="1" applyBorder="1" applyAlignment="1">
      <alignment vertical="center" wrapText="1"/>
      <protection/>
    </xf>
    <xf numFmtId="188" fontId="12" fillId="0" borderId="16" xfId="195" applyNumberFormat="1" applyFont="1" applyBorder="1" applyAlignment="1">
      <alignment vertical="center" wrapText="1"/>
      <protection/>
    </xf>
    <xf numFmtId="3" fontId="11" fillId="0" borderId="16" xfId="195" applyNumberFormat="1" applyFont="1" applyBorder="1" applyAlignment="1">
      <alignment vertical="center" wrapText="1"/>
      <protection/>
    </xf>
    <xf numFmtId="0" fontId="0" fillId="0" borderId="0" xfId="206" applyFont="1">
      <alignment/>
      <protection/>
    </xf>
    <xf numFmtId="185" fontId="0" fillId="0" borderId="0" xfId="206" applyNumberFormat="1" applyFont="1">
      <alignment/>
      <protection/>
    </xf>
    <xf numFmtId="43" fontId="0" fillId="0" borderId="0" xfId="93" applyAlignment="1">
      <alignment/>
    </xf>
    <xf numFmtId="4" fontId="5" fillId="0" borderId="10" xfId="134" applyNumberFormat="1" applyFont="1" applyBorder="1" applyAlignment="1">
      <alignment horizontal="right" vertical="center" wrapText="1"/>
    </xf>
    <xf numFmtId="2" fontId="5" fillId="0" borderId="10" xfId="134" applyNumberFormat="1" applyFont="1" applyBorder="1" applyAlignment="1">
      <alignment horizontal="right" vertical="center" wrapText="1"/>
    </xf>
    <xf numFmtId="0" fontId="5" fillId="0" borderId="10" xfId="297" applyFont="1" applyBorder="1" applyAlignment="1" quotePrefix="1">
      <alignment horizontal="center" vertical="center"/>
      <protection/>
    </xf>
    <xf numFmtId="0" fontId="50" fillId="0" borderId="0" xfId="195" applyFont="1">
      <alignment/>
      <protection/>
    </xf>
    <xf numFmtId="0" fontId="50" fillId="0" borderId="0" xfId="195" applyFont="1" applyAlignment="1">
      <alignment vertical="center"/>
      <protection/>
    </xf>
    <xf numFmtId="182" fontId="50" fillId="0" borderId="0" xfId="195" applyNumberFormat="1" applyFont="1" applyAlignment="1">
      <alignment vertical="center"/>
      <protection/>
    </xf>
    <xf numFmtId="171" fontId="50" fillId="0" borderId="0" xfId="195" applyNumberFormat="1" applyFont="1" applyAlignment="1">
      <alignment vertical="center"/>
      <protection/>
    </xf>
    <xf numFmtId="0" fontId="53" fillId="0" borderId="10" xfId="195" applyFont="1" applyBorder="1" applyAlignment="1">
      <alignment vertical="center" wrapText="1"/>
      <protection/>
    </xf>
    <xf numFmtId="1" fontId="50" fillId="0" borderId="0" xfId="195" applyNumberFormat="1" applyFont="1" applyAlignment="1">
      <alignment vertical="center"/>
      <protection/>
    </xf>
    <xf numFmtId="179" fontId="50" fillId="0" borderId="0" xfId="195" applyNumberFormat="1" applyFont="1" applyAlignment="1">
      <alignment vertical="center"/>
      <protection/>
    </xf>
    <xf numFmtId="0" fontId="53" fillId="0" borderId="0" xfId="195" applyFont="1" applyAlignment="1">
      <alignment vertical="center"/>
      <protection/>
    </xf>
    <xf numFmtId="0" fontId="53" fillId="0" borderId="10" xfId="195" applyFont="1" applyBorder="1" applyAlignment="1">
      <alignment horizontal="right" vertical="center" wrapText="1"/>
      <protection/>
    </xf>
    <xf numFmtId="0" fontId="50" fillId="0" borderId="10" xfId="195" applyFont="1" applyBorder="1" applyAlignment="1">
      <alignment vertical="center" wrapText="1"/>
      <protection/>
    </xf>
    <xf numFmtId="0" fontId="50" fillId="0" borderId="0" xfId="195" applyFont="1" applyAlignment="1">
      <alignment horizontal="left" vertical="center"/>
      <protection/>
    </xf>
    <xf numFmtId="188" fontId="50" fillId="0" borderId="0" xfId="195" applyNumberFormat="1" applyFont="1" applyAlignment="1">
      <alignment vertical="center" wrapText="1"/>
      <protection/>
    </xf>
    <xf numFmtId="2" fontId="50" fillId="0" borderId="0" xfId="195" applyNumberFormat="1" applyFont="1" applyAlignment="1">
      <alignment vertical="center" wrapText="1"/>
      <protection/>
    </xf>
    <xf numFmtId="9" fontId="50" fillId="0" borderId="0" xfId="309" applyFont="1" applyAlignment="1">
      <alignment vertical="center" wrapText="1"/>
    </xf>
    <xf numFmtId="182" fontId="50" fillId="0" borderId="0" xfId="195" applyNumberFormat="1" applyFont="1" applyAlignment="1">
      <alignment vertical="center" wrapText="1"/>
      <protection/>
    </xf>
    <xf numFmtId="0" fontId="53" fillId="0" borderId="0" xfId="195" applyFont="1" applyAlignment="1">
      <alignment vertical="center" wrapText="1"/>
      <protection/>
    </xf>
    <xf numFmtId="188" fontId="53" fillId="0" borderId="0" xfId="195" applyNumberFormat="1" applyFont="1" applyAlignment="1">
      <alignment vertical="center" wrapText="1"/>
      <protection/>
    </xf>
    <xf numFmtId="2" fontId="53" fillId="0" borderId="0" xfId="195" applyNumberFormat="1" applyFont="1" applyAlignment="1">
      <alignment vertical="center" wrapText="1"/>
      <protection/>
    </xf>
    <xf numFmtId="9" fontId="53" fillId="0" borderId="0" xfId="304" applyFont="1" applyAlignment="1">
      <alignment vertical="center" wrapText="1"/>
    </xf>
    <xf numFmtId="182" fontId="53" fillId="0" borderId="0" xfId="195" applyNumberFormat="1" applyFont="1" applyAlignment="1">
      <alignment vertical="center" wrapText="1"/>
      <protection/>
    </xf>
    <xf numFmtId="49" fontId="0" fillId="30" borderId="10" xfId="297" applyNumberFormat="1" applyFont="1" applyFill="1" applyBorder="1" applyAlignment="1">
      <alignment horizontal="center" vertical="center" wrapText="1"/>
      <protection/>
    </xf>
    <xf numFmtId="0" fontId="0" fillId="30" borderId="10" xfId="297" applyFont="1" applyFill="1" applyBorder="1" applyAlignment="1">
      <alignment horizontal="center" vertical="center"/>
      <protection/>
    </xf>
    <xf numFmtId="3" fontId="2" fillId="0" borderId="0" xfId="265" applyNumberFormat="1" applyFont="1" applyAlignment="1">
      <alignment vertical="center"/>
      <protection/>
    </xf>
    <xf numFmtId="4" fontId="53" fillId="0" borderId="0" xfId="253" applyNumberFormat="1" applyFont="1" applyAlignment="1">
      <alignment vertical="center"/>
      <protection/>
    </xf>
    <xf numFmtId="171" fontId="54" fillId="0" borderId="10" xfId="136" applyFont="1" applyBorder="1" applyAlignment="1">
      <alignment horizontal="right" vertical="center" wrapText="1"/>
    </xf>
    <xf numFmtId="188" fontId="54" fillId="0" borderId="0" xfId="253" applyNumberFormat="1" applyFont="1" applyAlignment="1">
      <alignment vertical="center"/>
      <protection/>
    </xf>
    <xf numFmtId="2" fontId="54" fillId="0" borderId="0" xfId="253" applyNumberFormat="1" applyFont="1" applyAlignment="1">
      <alignment vertical="center"/>
      <protection/>
    </xf>
    <xf numFmtId="0" fontId="54" fillId="0" borderId="10" xfId="268" applyFont="1" applyBorder="1" applyAlignment="1">
      <alignment vertical="center" wrapText="1"/>
      <protection/>
    </xf>
    <xf numFmtId="0" fontId="54" fillId="0" borderId="10" xfId="296" applyFont="1" applyBorder="1" applyAlignment="1">
      <alignment horizontal="center" vertical="center"/>
      <protection/>
    </xf>
    <xf numFmtId="0" fontId="54" fillId="0" borderId="10" xfId="296" applyFont="1" applyBorder="1" applyAlignment="1">
      <alignment horizontal="justify" vertical="center"/>
      <protection/>
    </xf>
    <xf numFmtId="0" fontId="54" fillId="0" borderId="10" xfId="268" applyFont="1" applyBorder="1" applyAlignment="1">
      <alignment horizontal="center" vertical="center" wrapText="1"/>
      <protection/>
    </xf>
    <xf numFmtId="171" fontId="54" fillId="0" borderId="10" xfId="136" applyFont="1" applyBorder="1" applyAlignment="1">
      <alignment horizontal="right"/>
    </xf>
    <xf numFmtId="171" fontId="54" fillId="0" borderId="10" xfId="136" applyFont="1" applyBorder="1" applyAlignment="1">
      <alignment horizontal="right" vertical="center"/>
    </xf>
    <xf numFmtId="2" fontId="53" fillId="0" borderId="0" xfId="253" applyNumberFormat="1" applyFont="1" applyAlignment="1">
      <alignment vertical="center"/>
      <protection/>
    </xf>
    <xf numFmtId="10" fontId="57" fillId="0" borderId="0" xfId="311" applyNumberFormat="1" applyFont="1" applyAlignment="1">
      <alignment vertical="center"/>
    </xf>
    <xf numFmtId="171" fontId="57" fillId="0" borderId="0" xfId="253" applyNumberFormat="1" applyFont="1" applyAlignment="1">
      <alignment vertical="center"/>
      <protection/>
    </xf>
    <xf numFmtId="4" fontId="50" fillId="0" borderId="24" xfId="253" applyNumberFormat="1" applyFont="1" applyBorder="1" applyAlignment="1">
      <alignment horizontal="right" vertical="center"/>
      <protection/>
    </xf>
    <xf numFmtId="0" fontId="0" fillId="0" borderId="25" xfId="0" applyFont="1" applyBorder="1" applyAlignment="1">
      <alignment horizontal="center" vertical="center"/>
    </xf>
    <xf numFmtId="1" fontId="0" fillId="34" borderId="10" xfId="0" applyNumberFormat="1" applyFont="1" applyFill="1" applyBorder="1" applyAlignment="1">
      <alignment horizontal="center" vertical="center"/>
    </xf>
    <xf numFmtId="0" fontId="0" fillId="34" borderId="10" xfId="0" applyFont="1" applyFill="1" applyBorder="1" applyAlignment="1">
      <alignment horizontal="center" vertical="center"/>
    </xf>
    <xf numFmtId="0" fontId="0" fillId="0" borderId="21" xfId="0" applyFont="1" applyBorder="1" applyAlignment="1">
      <alignment horizontal="center" vertical="center"/>
    </xf>
    <xf numFmtId="0" fontId="4" fillId="0" borderId="0" xfId="195" applyFont="1">
      <alignment/>
      <protection/>
    </xf>
    <xf numFmtId="0" fontId="53" fillId="0" borderId="10" xfId="293" applyFont="1" applyBorder="1" applyAlignment="1">
      <alignment horizontal="left" vertical="center" wrapText="1"/>
      <protection/>
    </xf>
    <xf numFmtId="0" fontId="53" fillId="0" borderId="10" xfId="293" applyFont="1" applyBorder="1" applyAlignment="1">
      <alignment horizontal="center" vertical="center" wrapText="1"/>
      <protection/>
    </xf>
    <xf numFmtId="0" fontId="53" fillId="0" borderId="26" xfId="253" applyFont="1" applyBorder="1" applyAlignment="1">
      <alignment horizontal="center" vertical="center" wrapText="1"/>
      <protection/>
    </xf>
    <xf numFmtId="0" fontId="50" fillId="0" borderId="10" xfId="195" applyFont="1" applyBorder="1" applyAlignment="1">
      <alignment horizontal="center" vertical="center"/>
      <protection/>
    </xf>
    <xf numFmtId="0" fontId="68" fillId="0" borderId="10" xfId="195" applyFont="1" applyBorder="1" applyAlignment="1">
      <alignment horizontal="center" vertical="center"/>
      <protection/>
    </xf>
    <xf numFmtId="0" fontId="71" fillId="0" borderId="10" xfId="195" applyFont="1" applyBorder="1" applyAlignment="1">
      <alignment horizontal="center" vertical="center"/>
      <protection/>
    </xf>
    <xf numFmtId="0" fontId="71" fillId="0" borderId="10" xfId="293" applyFont="1" applyBorder="1" applyAlignment="1">
      <alignment horizontal="left" vertical="center" wrapText="1"/>
      <protection/>
    </xf>
    <xf numFmtId="0" fontId="53" fillId="0" borderId="10" xfId="293" applyFont="1" applyBorder="1" applyAlignment="1">
      <alignment horizontal="center" vertical="center"/>
      <protection/>
    </xf>
    <xf numFmtId="3" fontId="71" fillId="0" borderId="10" xfId="195" applyNumberFormat="1" applyFont="1" applyBorder="1" applyAlignment="1">
      <alignment horizontal="right" vertical="center"/>
      <protection/>
    </xf>
    <xf numFmtId="176" fontId="53" fillId="0" borderId="10" xfId="195" applyNumberFormat="1" applyFont="1" applyBorder="1" applyAlignment="1">
      <alignment horizontal="right" vertical="center"/>
      <protection/>
    </xf>
    <xf numFmtId="0" fontId="71" fillId="0" borderId="10" xfId="195" applyFont="1" applyBorder="1" applyAlignment="1">
      <alignment vertical="center" wrapText="1"/>
      <protection/>
    </xf>
    <xf numFmtId="176" fontId="50" fillId="0" borderId="10" xfId="195" applyNumberFormat="1" applyFont="1" applyBorder="1" applyAlignment="1">
      <alignment horizontal="right" vertical="center"/>
      <protection/>
    </xf>
    <xf numFmtId="0" fontId="50" fillId="0" borderId="10" xfId="195" applyFont="1" applyBorder="1" applyAlignment="1" quotePrefix="1">
      <alignment vertical="center" wrapText="1"/>
      <protection/>
    </xf>
    <xf numFmtId="3" fontId="50" fillId="0" borderId="10" xfId="195" applyNumberFormat="1" applyFont="1" applyBorder="1" applyAlignment="1">
      <alignment horizontal="right" vertical="center"/>
      <protection/>
    </xf>
    <xf numFmtId="176" fontId="71" fillId="0" borderId="10" xfId="195" applyNumberFormat="1" applyFont="1" applyBorder="1" applyAlignment="1">
      <alignment horizontal="right" vertical="center"/>
      <protection/>
    </xf>
    <xf numFmtId="0" fontId="71" fillId="0" borderId="10" xfId="293" applyFont="1" applyBorder="1" applyAlignment="1">
      <alignment horizontal="center" vertical="center"/>
      <protection/>
    </xf>
    <xf numFmtId="0" fontId="58" fillId="0" borderId="10" xfId="195" applyFont="1" applyBorder="1" applyAlignment="1">
      <alignment horizontal="center" vertical="center"/>
      <protection/>
    </xf>
    <xf numFmtId="0" fontId="50" fillId="0" borderId="10" xfId="293" applyFont="1" applyBorder="1" applyAlignment="1">
      <alignment horizontal="left" vertical="center" wrapText="1"/>
      <protection/>
    </xf>
    <xf numFmtId="0" fontId="50" fillId="0" borderId="10" xfId="293" applyFont="1" applyBorder="1" applyAlignment="1">
      <alignment horizontal="center" vertical="center"/>
      <protection/>
    </xf>
    <xf numFmtId="0" fontId="50" fillId="0" borderId="10" xfId="293" applyFont="1" applyBorder="1" applyAlignment="1" quotePrefix="1">
      <alignment horizontal="center" vertical="center"/>
      <protection/>
    </xf>
    <xf numFmtId="49" fontId="12" fillId="0" borderId="0" xfId="93" applyNumberFormat="1" applyFont="1" applyAlignment="1">
      <alignment vertical="center"/>
    </xf>
    <xf numFmtId="49" fontId="12" fillId="0" borderId="0" xfId="93" applyNumberFormat="1" applyFont="1" applyAlignment="1">
      <alignment horizontal="center" vertical="center"/>
    </xf>
    <xf numFmtId="0" fontId="11" fillId="0" borderId="0" xfId="0" applyFont="1" applyAlignment="1">
      <alignment horizontal="center" vertical="center" wrapText="1"/>
    </xf>
    <xf numFmtId="43" fontId="11" fillId="0" borderId="0" xfId="0" applyNumberFormat="1" applyFont="1" applyAlignment="1">
      <alignment vertical="center"/>
    </xf>
    <xf numFmtId="0" fontId="11" fillId="0" borderId="0" xfId="0" applyFont="1" applyAlignment="1">
      <alignment vertical="center"/>
    </xf>
    <xf numFmtId="195" fontId="11" fillId="0" borderId="0" xfId="93" applyNumberFormat="1" applyFont="1" applyAlignment="1">
      <alignment vertical="center"/>
    </xf>
    <xf numFmtId="195" fontId="12" fillId="0" borderId="0" xfId="93" applyNumberFormat="1" applyFont="1" applyAlignment="1">
      <alignment vertical="center"/>
    </xf>
    <xf numFmtId="201" fontId="11" fillId="0" borderId="0" xfId="93" applyNumberFormat="1" applyFont="1" applyAlignment="1">
      <alignment vertical="center"/>
    </xf>
    <xf numFmtId="195" fontId="62" fillId="0" borderId="0" xfId="93" applyNumberFormat="1" applyFont="1" applyAlignment="1">
      <alignment vertical="center"/>
    </xf>
    <xf numFmtId="201" fontId="12" fillId="0" borderId="0" xfId="93" applyNumberFormat="1" applyFont="1" applyAlignment="1">
      <alignment vertical="center"/>
    </xf>
    <xf numFmtId="171" fontId="12" fillId="0" borderId="0" xfId="0" applyNumberFormat="1" applyFont="1" applyAlignment="1">
      <alignment/>
    </xf>
    <xf numFmtId="0" fontId="25" fillId="0" borderId="0" xfId="0" applyFont="1" applyAlignment="1">
      <alignment/>
    </xf>
    <xf numFmtId="0" fontId="12" fillId="0" borderId="0" xfId="0" applyFont="1" applyAlignment="1">
      <alignment/>
    </xf>
    <xf numFmtId="202" fontId="12" fillId="0" borderId="0" xfId="0" applyNumberFormat="1" applyFont="1" applyAlignment="1">
      <alignment/>
    </xf>
    <xf numFmtId="43" fontId="11" fillId="0" borderId="0" xfId="93" applyFont="1" applyAlignment="1">
      <alignment vertical="center"/>
    </xf>
    <xf numFmtId="195" fontId="12" fillId="0" borderId="0" xfId="93" applyNumberFormat="1" applyFont="1" applyAlignment="1">
      <alignment/>
    </xf>
    <xf numFmtId="195" fontId="12" fillId="0" borderId="0" xfId="93" applyNumberFormat="1" applyFont="1" applyAlignment="1">
      <alignment horizontal="center"/>
    </xf>
    <xf numFmtId="200" fontId="12" fillId="0" borderId="0" xfId="93" applyNumberFormat="1" applyFont="1" applyAlignment="1">
      <alignment/>
    </xf>
    <xf numFmtId="0" fontId="53" fillId="0" borderId="10" xfId="195" applyFont="1" applyBorder="1" applyAlignment="1" quotePrefix="1">
      <alignment horizontal="center" vertical="center"/>
      <protection/>
    </xf>
    <xf numFmtId="0" fontId="50" fillId="0" borderId="10" xfId="195" applyFont="1" applyBorder="1" applyAlignment="1" quotePrefix="1">
      <alignment horizontal="center" vertical="center"/>
      <protection/>
    </xf>
    <xf numFmtId="0" fontId="58" fillId="0" borderId="10" xfId="195" applyFont="1" applyBorder="1" applyAlignment="1">
      <alignment vertical="center" wrapText="1"/>
      <protection/>
    </xf>
    <xf numFmtId="0" fontId="50" fillId="0" borderId="10" xfId="295" applyFont="1" applyBorder="1" applyAlignment="1">
      <alignment vertical="center" wrapText="1"/>
      <protection/>
    </xf>
    <xf numFmtId="0" fontId="71" fillId="0" borderId="10" xfId="295" applyFont="1" applyBorder="1" applyAlignment="1" quotePrefix="1">
      <alignment horizontal="center" vertical="center" wrapText="1"/>
      <protection/>
    </xf>
    <xf numFmtId="0" fontId="58" fillId="0" borderId="10" xfId="295" applyFont="1" applyBorder="1" applyAlignment="1">
      <alignment horizontal="center" vertical="center" wrapText="1"/>
      <protection/>
    </xf>
    <xf numFmtId="0" fontId="58" fillId="0" borderId="10" xfId="295" applyFont="1" applyBorder="1" applyAlignment="1">
      <alignment vertical="center" wrapText="1"/>
      <protection/>
    </xf>
    <xf numFmtId="0" fontId="50" fillId="0" borderId="10" xfId="295" applyFont="1" applyBorder="1" applyAlignment="1">
      <alignment horizontal="center" vertical="center" wrapText="1"/>
      <protection/>
    </xf>
    <xf numFmtId="0" fontId="53" fillId="0" borderId="10" xfId="295" applyFont="1" applyBorder="1" applyAlignment="1">
      <alignment horizontal="left" vertical="center" wrapText="1"/>
      <protection/>
    </xf>
    <xf numFmtId="0" fontId="53" fillId="0" borderId="10" xfId="295" applyFont="1" applyBorder="1" applyAlignment="1">
      <alignment horizontal="center" vertical="center" wrapText="1"/>
      <protection/>
    </xf>
    <xf numFmtId="0" fontId="53" fillId="0" borderId="10" xfId="295" applyFont="1" applyBorder="1" applyAlignment="1">
      <alignment vertical="center" wrapText="1"/>
      <protection/>
    </xf>
    <xf numFmtId="0" fontId="71" fillId="0" borderId="10" xfId="295" applyFont="1" applyBorder="1" applyAlignment="1">
      <alignment horizontal="center" vertical="center" wrapText="1"/>
      <protection/>
    </xf>
    <xf numFmtId="0" fontId="50" fillId="0" borderId="10" xfId="195" applyFont="1" applyBorder="1">
      <alignment/>
      <protection/>
    </xf>
    <xf numFmtId="0" fontId="53" fillId="0" borderId="10" xfId="195" applyFont="1" applyBorder="1" applyAlignment="1">
      <alignment horizontal="left" vertical="center"/>
      <protection/>
    </xf>
    <xf numFmtId="0" fontId="53" fillId="0" borderId="10" xfId="253" applyFont="1" applyBorder="1" applyAlignment="1">
      <alignment horizontal="right" vertical="center" wrapText="1"/>
      <protection/>
    </xf>
    <xf numFmtId="0" fontId="53" fillId="0" borderId="10" xfId="195" applyFont="1" applyBorder="1" applyAlignment="1">
      <alignment horizontal="left" vertical="center" wrapText="1"/>
      <protection/>
    </xf>
    <xf numFmtId="0" fontId="68" fillId="0" borderId="10" xfId="195" applyFont="1" applyBorder="1" applyAlignment="1">
      <alignment horizontal="center" vertical="center" wrapText="1"/>
      <protection/>
    </xf>
    <xf numFmtId="37" fontId="11" fillId="0" borderId="0" xfId="206" applyNumberFormat="1" applyFont="1" applyAlignment="1">
      <alignment horizontal="right" vertical="center"/>
      <protection/>
    </xf>
    <xf numFmtId="0" fontId="51" fillId="0" borderId="0" xfId="195" applyFont="1">
      <alignment/>
      <protection/>
    </xf>
    <xf numFmtId="190" fontId="51" fillId="0" borderId="0" xfId="195" applyNumberFormat="1" applyFont="1" applyAlignment="1">
      <alignment vertical="center"/>
      <protection/>
    </xf>
    <xf numFmtId="195" fontId="12" fillId="35" borderId="0" xfId="93" applyNumberFormat="1" applyFont="1" applyFill="1" applyAlignment="1">
      <alignment vertical="center"/>
    </xf>
    <xf numFmtId="195" fontId="152" fillId="0" borderId="0" xfId="93" applyNumberFormat="1" applyFont="1" applyAlignment="1">
      <alignment vertical="center"/>
    </xf>
    <xf numFmtId="195" fontId="153" fillId="0" borderId="0" xfId="93" applyNumberFormat="1" applyFont="1" applyAlignment="1">
      <alignment vertical="center"/>
    </xf>
    <xf numFmtId="195" fontId="154" fillId="0" borderId="0" xfId="93" applyNumberFormat="1" applyFont="1" applyAlignment="1">
      <alignment vertical="center"/>
    </xf>
    <xf numFmtId="195" fontId="155" fillId="0" borderId="10" xfId="93" applyNumberFormat="1" applyFont="1" applyBorder="1" applyAlignment="1">
      <alignment vertical="center"/>
    </xf>
    <xf numFmtId="0" fontId="5" fillId="0" borderId="10" xfId="206" applyFont="1" applyBorder="1" applyAlignment="1">
      <alignment horizontal="center" vertical="center"/>
      <protection/>
    </xf>
    <xf numFmtId="0" fontId="5" fillId="0" borderId="10" xfId="206" applyFont="1" applyBorder="1" applyAlignment="1">
      <alignment vertical="center" wrapText="1"/>
      <protection/>
    </xf>
    <xf numFmtId="0" fontId="5" fillId="0" borderId="10" xfId="206" applyFont="1" applyBorder="1" applyAlignment="1">
      <alignment horizontal="center" vertical="center" wrapText="1"/>
      <protection/>
    </xf>
    <xf numFmtId="0" fontId="5" fillId="0" borderId="10" xfId="206" applyFont="1" applyBorder="1" applyAlignment="1">
      <alignment vertical="center"/>
      <protection/>
    </xf>
    <xf numFmtId="0" fontId="5" fillId="0" borderId="0" xfId="206" applyFont="1" applyAlignment="1">
      <alignment vertical="center"/>
      <protection/>
    </xf>
    <xf numFmtId="4" fontId="4" fillId="0" borderId="10" xfId="206" applyNumberFormat="1" applyFont="1" applyBorder="1" applyAlignment="1">
      <alignment horizontal="left" vertical="center" wrapText="1"/>
      <protection/>
    </xf>
    <xf numFmtId="4" fontId="58" fillId="0" borderId="10" xfId="206" applyNumberFormat="1" applyFont="1" applyBorder="1" applyAlignment="1">
      <alignment horizontal="center" vertical="center" wrapText="1"/>
      <protection/>
    </xf>
    <xf numFmtId="0" fontId="50" fillId="0" borderId="10" xfId="206" applyFont="1" applyBorder="1" applyAlignment="1">
      <alignment horizontal="center" vertical="center"/>
      <protection/>
    </xf>
    <xf numFmtId="0" fontId="0" fillId="0" borderId="10" xfId="206" applyFont="1" applyBorder="1" applyAlignment="1">
      <alignment horizontal="right" vertical="center"/>
      <protection/>
    </xf>
    <xf numFmtId="0" fontId="4" fillId="0" borderId="0" xfId="206" applyFont="1" applyAlignment="1">
      <alignment vertical="center"/>
      <protection/>
    </xf>
    <xf numFmtId="179" fontId="50" fillId="0" borderId="10" xfId="206" applyNumberFormat="1" applyFont="1" applyBorder="1" applyAlignment="1">
      <alignment horizontal="center" vertical="center" wrapText="1"/>
      <protection/>
    </xf>
    <xf numFmtId="0" fontId="53" fillId="0" borderId="10" xfId="206" applyFont="1" applyBorder="1" applyAlignment="1">
      <alignment horizontal="center" vertical="center" wrapText="1"/>
      <protection/>
    </xf>
    <xf numFmtId="0" fontId="5" fillId="0" borderId="10" xfId="206" applyFont="1" applyBorder="1" applyAlignment="1">
      <alignment horizontal="right" vertical="center" wrapText="1"/>
      <protection/>
    </xf>
    <xf numFmtId="0" fontId="29" fillId="0" borderId="10" xfId="206" applyFont="1" applyBorder="1" applyAlignment="1">
      <alignment horizontal="right" vertical="center" wrapText="1"/>
      <protection/>
    </xf>
    <xf numFmtId="0" fontId="0" fillId="0" borderId="10" xfId="206" applyFont="1" applyBorder="1" applyAlignment="1">
      <alignment vertical="center" wrapText="1"/>
      <protection/>
    </xf>
    <xf numFmtId="1" fontId="0" fillId="0" borderId="10" xfId="206" applyNumberFormat="1" applyFont="1" applyBorder="1" applyAlignment="1">
      <alignment horizontal="right" vertical="center" wrapText="1"/>
      <protection/>
    </xf>
    <xf numFmtId="190" fontId="0" fillId="0" borderId="10" xfId="206" applyNumberFormat="1" applyFont="1" applyBorder="1" applyAlignment="1">
      <alignment horizontal="right" vertical="center" wrapText="1"/>
      <protection/>
    </xf>
    <xf numFmtId="0" fontId="0" fillId="0" borderId="10" xfId="206" applyFont="1" applyBorder="1" applyAlignment="1">
      <alignment horizontal="right" vertical="center" wrapText="1"/>
      <protection/>
    </xf>
    <xf numFmtId="2" fontId="0" fillId="0" borderId="10" xfId="206" applyNumberFormat="1" applyFont="1" applyBorder="1" applyAlignment="1">
      <alignment horizontal="right" vertical="center" wrapText="1"/>
      <protection/>
    </xf>
    <xf numFmtId="3" fontId="29" fillId="0" borderId="10" xfId="206" applyNumberFormat="1" applyFont="1" applyBorder="1" applyAlignment="1">
      <alignment horizontal="right" vertical="center" wrapText="1"/>
      <protection/>
    </xf>
    <xf numFmtId="4" fontId="0" fillId="0" borderId="10" xfId="0" applyNumberFormat="1" applyFont="1" applyBorder="1" applyAlignment="1">
      <alignment horizontal="right" vertical="center" wrapText="1"/>
    </xf>
    <xf numFmtId="0" fontId="0" fillId="0" borderId="0" xfId="276" applyFont="1" applyAlignment="1">
      <alignment vertical="center"/>
      <protection/>
    </xf>
    <xf numFmtId="0" fontId="53" fillId="0" borderId="10" xfId="206" applyFont="1" applyBorder="1" applyAlignment="1">
      <alignment horizontal="center" vertical="center"/>
      <protection/>
    </xf>
    <xf numFmtId="3" fontId="5" fillId="0" borderId="10" xfId="206" applyNumberFormat="1" applyFont="1" applyBorder="1" applyAlignment="1">
      <alignment horizontal="right" vertical="center" wrapText="1"/>
      <protection/>
    </xf>
    <xf numFmtId="0" fontId="4" fillId="0" borderId="10" xfId="206" applyFont="1" applyBorder="1" applyAlignment="1">
      <alignment vertical="center" wrapText="1"/>
      <protection/>
    </xf>
    <xf numFmtId="0" fontId="4" fillId="0" borderId="10" xfId="206" applyFont="1" applyBorder="1" applyAlignment="1">
      <alignment horizontal="center" vertical="center"/>
      <protection/>
    </xf>
    <xf numFmtId="0" fontId="0" fillId="0" borderId="10" xfId="276" applyFont="1" applyBorder="1" applyAlignment="1">
      <alignment horizontal="right" vertical="center" wrapText="1"/>
      <protection/>
    </xf>
    <xf numFmtId="0" fontId="58" fillId="0" borderId="10" xfId="206" applyFont="1" applyBorder="1" applyAlignment="1">
      <alignment horizontal="center" vertical="center"/>
      <protection/>
    </xf>
    <xf numFmtId="4" fontId="0" fillId="0" borderId="10" xfId="206" applyNumberFormat="1" applyFont="1" applyBorder="1" applyAlignment="1">
      <alignment horizontal="right" vertical="center"/>
      <protection/>
    </xf>
    <xf numFmtId="4" fontId="4" fillId="0" borderId="10" xfId="206" applyNumberFormat="1" applyFont="1" applyBorder="1" applyAlignment="1">
      <alignment horizontal="right" vertical="center"/>
      <protection/>
    </xf>
    <xf numFmtId="0" fontId="0" fillId="0" borderId="10" xfId="266" applyFont="1" applyBorder="1" applyAlignment="1">
      <alignment horizontal="right" vertical="center"/>
      <protection/>
    </xf>
    <xf numFmtId="0" fontId="0" fillId="0" borderId="10" xfId="0" applyFont="1" applyBorder="1" applyAlignment="1">
      <alignment horizontal="right" vertical="center"/>
    </xf>
    <xf numFmtId="3" fontId="0" fillId="0" borderId="10" xfId="0" applyNumberFormat="1" applyFont="1" applyBorder="1" applyAlignment="1">
      <alignment horizontal="right" vertical="center" wrapText="1"/>
    </xf>
    <xf numFmtId="4" fontId="0" fillId="0" borderId="10" xfId="0" applyNumberFormat="1" applyFont="1" applyBorder="1" applyAlignment="1">
      <alignment horizontal="center" vertical="center" wrapText="1"/>
    </xf>
    <xf numFmtId="3" fontId="0" fillId="0" borderId="10" xfId="206" applyNumberFormat="1" applyFont="1" applyBorder="1" applyAlignment="1">
      <alignment horizontal="right" vertical="center" wrapText="1"/>
      <protection/>
    </xf>
    <xf numFmtId="4" fontId="0" fillId="0" borderId="10" xfId="206" applyNumberFormat="1" applyFont="1" applyBorder="1" applyAlignment="1">
      <alignment horizontal="right" vertical="center" wrapText="1"/>
      <protection/>
    </xf>
    <xf numFmtId="0" fontId="5" fillId="0" borderId="10" xfId="206" applyFont="1" applyBorder="1" applyAlignment="1" quotePrefix="1">
      <alignment horizontal="center" vertical="center" wrapText="1"/>
      <protection/>
    </xf>
    <xf numFmtId="0" fontId="50" fillId="0" borderId="10" xfId="206" applyFont="1" applyBorder="1" applyAlignment="1">
      <alignment horizontal="center" vertical="center"/>
      <protection/>
    </xf>
    <xf numFmtId="2" fontId="0" fillId="0" borderId="10" xfId="266" applyNumberFormat="1" applyFont="1" applyBorder="1" applyAlignment="1">
      <alignment horizontal="right" vertical="center"/>
      <protection/>
    </xf>
    <xf numFmtId="0" fontId="8" fillId="0" borderId="10" xfId="206" applyFont="1" applyBorder="1" applyAlignment="1" quotePrefix="1">
      <alignment horizontal="center" vertical="center" wrapText="1"/>
      <protection/>
    </xf>
    <xf numFmtId="0" fontId="4" fillId="0" borderId="10" xfId="206" applyFont="1" applyBorder="1" applyAlignment="1">
      <alignment vertical="center" wrapText="1"/>
      <protection/>
    </xf>
    <xf numFmtId="0" fontId="58" fillId="0" borderId="10" xfId="206" applyFont="1" applyBorder="1" applyAlignment="1">
      <alignment horizontal="center" vertical="center"/>
      <protection/>
    </xf>
    <xf numFmtId="3" fontId="4" fillId="0" borderId="10" xfId="206" applyNumberFormat="1" applyFont="1" applyBorder="1" applyAlignment="1">
      <alignment horizontal="right" vertical="center"/>
      <protection/>
    </xf>
    <xf numFmtId="176" fontId="4" fillId="0" borderId="10" xfId="206" applyNumberFormat="1" applyFont="1" applyBorder="1" applyAlignment="1">
      <alignment horizontal="right" vertical="center"/>
      <protection/>
    </xf>
    <xf numFmtId="189" fontId="4" fillId="0" borderId="10" xfId="206" applyNumberFormat="1" applyFont="1" applyBorder="1" applyAlignment="1">
      <alignment horizontal="right" vertical="center"/>
      <protection/>
    </xf>
    <xf numFmtId="4" fontId="4" fillId="0" borderId="10" xfId="206" applyNumberFormat="1" applyFont="1" applyBorder="1" applyAlignment="1">
      <alignment horizontal="right" vertical="center"/>
      <protection/>
    </xf>
    <xf numFmtId="0" fontId="8" fillId="0" borderId="0" xfId="206" applyFont="1" applyAlignment="1">
      <alignment vertical="center"/>
      <protection/>
    </xf>
    <xf numFmtId="179" fontId="4" fillId="0" borderId="10" xfId="206" applyNumberFormat="1" applyFont="1" applyBorder="1" applyAlignment="1">
      <alignment horizontal="right" vertical="center"/>
      <protection/>
    </xf>
    <xf numFmtId="0" fontId="0" fillId="0" borderId="10" xfId="206" applyFont="1" applyBorder="1" applyAlignment="1" quotePrefix="1">
      <alignment horizontal="center" vertical="center"/>
      <protection/>
    </xf>
    <xf numFmtId="0" fontId="8" fillId="0" borderId="0" xfId="206" applyFont="1" applyAlignment="1">
      <alignment vertical="center"/>
      <protection/>
    </xf>
    <xf numFmtId="188" fontId="0" fillId="0" borderId="10" xfId="191" applyNumberFormat="1" applyFont="1" applyBorder="1" applyAlignment="1">
      <alignment horizontal="right" vertical="center"/>
      <protection/>
    </xf>
    <xf numFmtId="0" fontId="28" fillId="0" borderId="10" xfId="206" applyFont="1" applyBorder="1" applyAlignment="1" quotePrefix="1">
      <alignment horizontal="center" vertical="center" wrapText="1"/>
      <protection/>
    </xf>
    <xf numFmtId="0" fontId="0" fillId="0" borderId="10" xfId="206" applyFont="1" applyBorder="1" applyAlignment="1">
      <alignment horizontal="justify" vertical="center" wrapText="1"/>
      <protection/>
    </xf>
    <xf numFmtId="2" fontId="0" fillId="0" borderId="10" xfId="0" applyNumberFormat="1" applyFont="1" applyBorder="1" applyAlignment="1">
      <alignment horizontal="right" vertical="center"/>
    </xf>
    <xf numFmtId="0" fontId="67" fillId="0" borderId="10" xfId="206" applyFont="1" applyBorder="1" applyAlignment="1">
      <alignment horizontal="center" vertical="center" wrapText="1"/>
      <protection/>
    </xf>
    <xf numFmtId="188" fontId="0" fillId="0" borderId="10" xfId="0" applyNumberFormat="1" applyFont="1" applyBorder="1" applyAlignment="1">
      <alignment horizontal="right" vertical="center"/>
    </xf>
    <xf numFmtId="0" fontId="64" fillId="0" borderId="0" xfId="195" applyFont="1" applyAlignment="1">
      <alignment horizontal="center" vertical="center" wrapText="1"/>
      <protection/>
    </xf>
    <xf numFmtId="0" fontId="63" fillId="0" borderId="0" xfId="195" applyFont="1" applyAlignment="1">
      <alignment horizontal="right" vertical="center" wrapText="1"/>
      <protection/>
    </xf>
    <xf numFmtId="0" fontId="65" fillId="0" borderId="0" xfId="195" applyFont="1" applyAlignment="1">
      <alignment vertical="center" wrapText="1"/>
      <protection/>
    </xf>
    <xf numFmtId="0" fontId="65" fillId="0" borderId="0" xfId="195" applyFont="1">
      <alignment/>
      <protection/>
    </xf>
    <xf numFmtId="49" fontId="0" fillId="0" borderId="0" xfId="195" applyNumberFormat="1" applyFont="1" applyAlignment="1">
      <alignment horizontal="center"/>
      <protection/>
    </xf>
    <xf numFmtId="0" fontId="54" fillId="0" borderId="0" xfId="195" applyFont="1">
      <alignment/>
      <protection/>
    </xf>
    <xf numFmtId="0" fontId="11" fillId="0" borderId="22" xfId="293" applyFont="1" applyBorder="1" applyAlignment="1">
      <alignment horizontal="center" vertical="center" wrapText="1"/>
      <protection/>
    </xf>
    <xf numFmtId="49" fontId="11" fillId="0" borderId="23" xfId="195" applyNumberFormat="1" applyFont="1" applyBorder="1" applyAlignment="1">
      <alignment horizontal="center" vertical="center" wrapText="1"/>
      <protection/>
    </xf>
    <xf numFmtId="0" fontId="11" fillId="0" borderId="23" xfId="195" applyFont="1" applyBorder="1" applyAlignment="1">
      <alignment horizontal="left" vertical="center" wrapText="1"/>
      <protection/>
    </xf>
    <xf numFmtId="0" fontId="12" fillId="0" borderId="23" xfId="195" applyFont="1" applyBorder="1" applyAlignment="1">
      <alignment vertical="center" wrapText="1"/>
      <protection/>
    </xf>
    <xf numFmtId="49" fontId="11" fillId="0" borderId="16" xfId="195" applyNumberFormat="1" applyFont="1" applyBorder="1" applyAlignment="1">
      <alignment horizontal="center" vertical="center" wrapText="1"/>
      <protection/>
    </xf>
    <xf numFmtId="0" fontId="11" fillId="0" borderId="16" xfId="195" applyFont="1" applyBorder="1" applyAlignment="1">
      <alignment horizontal="left" vertical="center" wrapText="1"/>
      <protection/>
    </xf>
    <xf numFmtId="4" fontId="11" fillId="0" borderId="16" xfId="195" applyNumberFormat="1" applyFont="1" applyBorder="1" applyAlignment="1">
      <alignment vertical="center" wrapText="1"/>
      <protection/>
    </xf>
    <xf numFmtId="1" fontId="11" fillId="0" borderId="16" xfId="195" applyNumberFormat="1" applyFont="1" applyBorder="1" applyAlignment="1">
      <alignment vertical="center" wrapText="1"/>
      <protection/>
    </xf>
    <xf numFmtId="9" fontId="12" fillId="0" borderId="16" xfId="195" applyNumberFormat="1" applyFont="1" applyBorder="1" applyAlignment="1">
      <alignment horizontal="left" vertical="center" wrapText="1"/>
      <protection/>
    </xf>
    <xf numFmtId="189" fontId="12" fillId="0" borderId="16" xfId="195" applyNumberFormat="1" applyFont="1" applyBorder="1" applyAlignment="1">
      <alignment vertical="center" wrapText="1"/>
      <protection/>
    </xf>
    <xf numFmtId="49" fontId="11" fillId="0" borderId="16" xfId="195" applyNumberFormat="1" applyFont="1" applyBorder="1" applyAlignment="1">
      <alignment horizontal="left" vertical="center" wrapText="1"/>
      <protection/>
    </xf>
    <xf numFmtId="49" fontId="64" fillId="0" borderId="0" xfId="195" applyNumberFormat="1" applyFont="1">
      <alignment/>
      <protection/>
    </xf>
    <xf numFmtId="0" fontId="64" fillId="0" borderId="0" xfId="195" applyFont="1">
      <alignment/>
      <protection/>
    </xf>
    <xf numFmtId="0" fontId="66" fillId="0" borderId="0" xfId="195" applyFont="1">
      <alignment/>
      <protection/>
    </xf>
    <xf numFmtId="3" fontId="156" fillId="0" borderId="0" xfId="0" applyNumberFormat="1" applyFont="1" applyAlignment="1">
      <alignment/>
    </xf>
    <xf numFmtId="0" fontId="156" fillId="0" borderId="0" xfId="0" applyFont="1" applyAlignment="1">
      <alignment/>
    </xf>
    <xf numFmtId="3" fontId="0" fillId="30" borderId="0" xfId="297" applyNumberFormat="1" applyFont="1" applyFill="1" applyAlignment="1">
      <alignment vertical="center"/>
      <protection/>
    </xf>
    <xf numFmtId="3" fontId="0" fillId="30" borderId="0" xfId="297" applyNumberFormat="1" applyFont="1" applyFill="1" applyAlignment="1">
      <alignment vertical="center"/>
      <protection/>
    </xf>
    <xf numFmtId="0" fontId="50" fillId="0" borderId="0" xfId="253" applyFont="1" applyBorder="1" applyAlignment="1">
      <alignment vertical="center"/>
      <protection/>
    </xf>
    <xf numFmtId="0" fontId="54" fillId="0" borderId="0" xfId="253" applyFont="1" applyBorder="1" applyAlignment="1">
      <alignment vertical="center"/>
      <protection/>
    </xf>
    <xf numFmtId="0" fontId="0" fillId="0" borderId="0" xfId="253" applyFont="1" applyBorder="1" applyAlignment="1">
      <alignment vertical="center"/>
      <protection/>
    </xf>
    <xf numFmtId="0" fontId="50" fillId="0" borderId="10" xfId="253" applyFont="1" applyBorder="1" applyAlignment="1">
      <alignment vertical="center" wrapText="1"/>
      <protection/>
    </xf>
    <xf numFmtId="0" fontId="54" fillId="0" borderId="10" xfId="253" applyFont="1" applyBorder="1" applyAlignment="1">
      <alignment vertical="center" wrapText="1"/>
      <protection/>
    </xf>
    <xf numFmtId="0" fontId="12" fillId="0" borderId="10" xfId="253" applyFont="1" applyBorder="1" applyAlignment="1">
      <alignment vertical="center" wrapText="1"/>
      <protection/>
    </xf>
    <xf numFmtId="0" fontId="12" fillId="0" borderId="0" xfId="253" applyFont="1" applyFill="1" applyAlignment="1">
      <alignment vertical="center"/>
      <protection/>
    </xf>
    <xf numFmtId="0" fontId="0" fillId="0" borderId="0" xfId="253" applyFont="1" applyFill="1" applyAlignment="1">
      <alignment vertical="center"/>
      <protection/>
    </xf>
    <xf numFmtId="0" fontId="0" fillId="0" borderId="0" xfId="206" applyFont="1" applyAlignment="1">
      <alignment vertical="center"/>
      <protection/>
    </xf>
    <xf numFmtId="0" fontId="0" fillId="0" borderId="10" xfId="206" applyFont="1" applyBorder="1" applyAlignment="1" quotePrefix="1">
      <alignment horizontal="center" vertical="center" wrapText="1"/>
      <protection/>
    </xf>
    <xf numFmtId="0" fontId="0" fillId="0" borderId="10" xfId="206" applyFont="1" applyBorder="1" applyAlignment="1">
      <alignment vertical="center" wrapText="1"/>
      <protection/>
    </xf>
    <xf numFmtId="189" fontId="0" fillId="0" borderId="10" xfId="206" applyNumberFormat="1" applyFont="1" applyBorder="1" applyAlignment="1">
      <alignment horizontal="right" vertical="center"/>
      <protection/>
    </xf>
    <xf numFmtId="176" fontId="0" fillId="0" borderId="10" xfId="206" applyNumberFormat="1" applyFont="1" applyBorder="1" applyAlignment="1">
      <alignment horizontal="right" vertical="center"/>
      <protection/>
    </xf>
    <xf numFmtId="2" fontId="0" fillId="0" borderId="0" xfId="206" applyNumberFormat="1" applyFont="1" applyAlignment="1">
      <alignment vertical="center"/>
      <protection/>
    </xf>
    <xf numFmtId="0" fontId="0" fillId="0" borderId="10" xfId="206" applyFont="1" applyBorder="1" applyAlignment="1">
      <alignment horizontal="center" vertical="center" wrapText="1"/>
      <protection/>
    </xf>
    <xf numFmtId="0" fontId="0" fillId="0" borderId="10" xfId="206" applyFont="1" applyBorder="1" applyAlignment="1">
      <alignment horizontal="center" vertical="center"/>
      <protection/>
    </xf>
    <xf numFmtId="0" fontId="0" fillId="0" borderId="10" xfId="206" applyFont="1" applyBorder="1" applyAlignment="1">
      <alignment horizontal="right" vertical="center"/>
      <protection/>
    </xf>
    <xf numFmtId="4" fontId="0" fillId="0" borderId="10" xfId="206" applyNumberFormat="1" applyFont="1" applyBorder="1" applyAlignment="1">
      <alignment horizontal="right" vertical="center"/>
      <protection/>
    </xf>
    <xf numFmtId="0" fontId="0" fillId="0" borderId="10" xfId="206" applyFont="1" applyBorder="1" applyAlignment="1" quotePrefix="1">
      <alignment horizontal="center" vertical="center"/>
      <protection/>
    </xf>
    <xf numFmtId="190" fontId="0" fillId="0" borderId="10" xfId="206" applyNumberFormat="1" applyFont="1" applyBorder="1" applyAlignment="1">
      <alignment horizontal="right" vertical="center" wrapText="1"/>
      <protection/>
    </xf>
    <xf numFmtId="1" fontId="0" fillId="0" borderId="10" xfId="206" applyNumberFormat="1" applyFont="1" applyBorder="1" applyAlignment="1">
      <alignment horizontal="right" vertical="center" wrapText="1"/>
      <protection/>
    </xf>
    <xf numFmtId="2" fontId="0" fillId="0" borderId="10" xfId="206" applyNumberFormat="1" applyFont="1" applyBorder="1" applyAlignment="1">
      <alignment horizontal="right" vertical="center"/>
      <protection/>
    </xf>
    <xf numFmtId="3" fontId="0" fillId="0" borderId="10" xfId="206" applyNumberFormat="1" applyFont="1" applyBorder="1" applyAlignment="1">
      <alignment horizontal="right" vertical="center" wrapText="1"/>
      <protection/>
    </xf>
    <xf numFmtId="4" fontId="0" fillId="0" borderId="10" xfId="206" applyNumberFormat="1" applyFont="1" applyBorder="1" applyAlignment="1">
      <alignment horizontal="right" vertical="center" wrapText="1"/>
      <protection/>
    </xf>
    <xf numFmtId="0" fontId="50" fillId="0" borderId="10" xfId="276" applyFont="1" applyBorder="1" applyAlignment="1">
      <alignment horizontal="center" vertical="center"/>
      <protection/>
    </xf>
    <xf numFmtId="182" fontId="0" fillId="0" borderId="10" xfId="158" applyNumberFormat="1" applyFont="1" applyBorder="1" applyAlignment="1">
      <alignment horizontal="right" vertical="center" wrapText="1"/>
    </xf>
    <xf numFmtId="3" fontId="0" fillId="0" borderId="10" xfId="195" applyNumberFormat="1" applyFont="1" applyBorder="1" applyAlignment="1">
      <alignment horizontal="right" vertical="center"/>
      <protection/>
    </xf>
    <xf numFmtId="189" fontId="0" fillId="0" borderId="10" xfId="195" applyNumberFormat="1" applyFont="1" applyBorder="1" applyAlignment="1">
      <alignment horizontal="right" vertical="center"/>
      <protection/>
    </xf>
    <xf numFmtId="0" fontId="0" fillId="0" borderId="10" xfId="276" applyFont="1" applyBorder="1" applyAlignment="1" quotePrefix="1">
      <alignment horizontal="center" vertical="center"/>
      <protection/>
    </xf>
    <xf numFmtId="0" fontId="0" fillId="0" borderId="10" xfId="276" applyFont="1" applyBorder="1" applyAlignment="1">
      <alignment vertical="center" wrapText="1"/>
      <protection/>
    </xf>
    <xf numFmtId="3" fontId="0" fillId="0" borderId="10" xfId="276" applyNumberFormat="1" applyFont="1" applyBorder="1" applyAlignment="1">
      <alignment horizontal="right" vertical="center"/>
      <protection/>
    </xf>
    <xf numFmtId="2" fontId="0" fillId="0" borderId="10" xfId="276" applyNumberFormat="1" applyFont="1" applyBorder="1" applyAlignment="1">
      <alignment horizontal="right" vertical="center"/>
      <protection/>
    </xf>
    <xf numFmtId="2" fontId="0" fillId="0" borderId="10" xfId="158" applyNumberFormat="1" applyFont="1" applyBorder="1" applyAlignment="1">
      <alignment horizontal="right" vertical="center" wrapText="1"/>
    </xf>
    <xf numFmtId="2" fontId="0" fillId="0" borderId="10" xfId="195" applyNumberFormat="1" applyFont="1" applyBorder="1" applyAlignment="1">
      <alignment horizontal="right" vertical="center"/>
      <protection/>
    </xf>
    <xf numFmtId="0" fontId="0" fillId="0" borderId="10" xfId="276" applyFont="1" applyBorder="1" applyAlignment="1">
      <alignment vertical="center"/>
      <protection/>
    </xf>
    <xf numFmtId="3" fontId="0" fillId="0" borderId="10" xfId="158" applyNumberFormat="1" applyFont="1" applyBorder="1" applyAlignment="1">
      <alignment horizontal="right" vertical="center" wrapText="1"/>
    </xf>
    <xf numFmtId="4" fontId="0" fillId="0" borderId="10" xfId="276" applyNumberFormat="1" applyFont="1" applyBorder="1" applyAlignment="1">
      <alignment horizontal="right" vertical="center" wrapText="1"/>
      <protection/>
    </xf>
    <xf numFmtId="171" fontId="0" fillId="0" borderId="10" xfId="158" applyFont="1" applyBorder="1" applyAlignment="1">
      <alignment horizontal="right" vertical="center" wrapText="1"/>
    </xf>
    <xf numFmtId="3" fontId="0" fillId="0" borderId="10" xfId="195" applyNumberFormat="1" applyFont="1" applyBorder="1" applyAlignment="1">
      <alignment vertical="center"/>
      <protection/>
    </xf>
    <xf numFmtId="171" fontId="0" fillId="0" borderId="10" xfId="134" applyNumberFormat="1" applyFont="1" applyBorder="1" applyAlignment="1">
      <alignment horizontal="center" vertical="center"/>
    </xf>
    <xf numFmtId="3" fontId="0" fillId="0" borderId="10" xfId="206" applyNumberFormat="1" applyFont="1" applyBorder="1" applyAlignment="1">
      <alignment horizontal="right" vertical="center"/>
      <protection/>
    </xf>
    <xf numFmtId="0" fontId="0" fillId="0" borderId="10" xfId="206" applyFont="1" applyBorder="1" applyAlignment="1" quotePrefix="1">
      <alignment vertical="center" wrapText="1"/>
      <protection/>
    </xf>
    <xf numFmtId="0" fontId="0" fillId="0" borderId="10" xfId="206" applyFont="1" applyBorder="1" applyAlignment="1">
      <alignment horizontal="right" vertical="center" wrapText="1"/>
      <protection/>
    </xf>
    <xf numFmtId="0" fontId="0" fillId="0" borderId="10" xfId="266" applyFont="1" applyBorder="1" applyAlignment="1">
      <alignment horizontal="right" vertical="center"/>
      <protection/>
    </xf>
    <xf numFmtId="3" fontId="0" fillId="0" borderId="10" xfId="267" applyNumberFormat="1" applyFont="1" applyBorder="1" applyAlignment="1">
      <alignment horizontal="right" vertical="center"/>
      <protection/>
    </xf>
    <xf numFmtId="4" fontId="0" fillId="0" borderId="10" xfId="265" applyNumberFormat="1" applyFont="1" applyBorder="1" applyAlignment="1">
      <alignment horizontal="right" vertical="center"/>
      <protection/>
    </xf>
    <xf numFmtId="0" fontId="0" fillId="0" borderId="10" xfId="282" applyFont="1" applyBorder="1" applyAlignment="1">
      <alignment horizontal="right" vertical="center"/>
      <protection/>
    </xf>
    <xf numFmtId="0" fontId="0" fillId="0" borderId="10" xfId="284" applyFont="1" applyBorder="1" applyAlignment="1">
      <alignment horizontal="right" vertical="center"/>
      <protection/>
    </xf>
    <xf numFmtId="0" fontId="0" fillId="0" borderId="10" xfId="191" applyFont="1" applyBorder="1" applyAlignment="1">
      <alignment horizontal="right" vertical="center"/>
      <protection/>
    </xf>
    <xf numFmtId="188" fontId="0" fillId="0" borderId="10" xfId="191" applyNumberFormat="1" applyFont="1" applyBorder="1" applyAlignment="1">
      <alignment horizontal="right" vertical="center"/>
      <protection/>
    </xf>
    <xf numFmtId="0" fontId="0" fillId="0" borderId="10" xfId="194" applyFont="1" applyBorder="1" applyAlignment="1">
      <alignment horizontal="right" vertical="center"/>
      <protection/>
    </xf>
    <xf numFmtId="0" fontId="0" fillId="0" borderId="10" xfId="196" applyFont="1" applyBorder="1" applyAlignment="1">
      <alignment horizontal="right" vertical="center"/>
      <protection/>
    </xf>
    <xf numFmtId="188" fontId="0" fillId="0" borderId="10" xfId="196" applyNumberFormat="1" applyFont="1" applyBorder="1" applyAlignment="1">
      <alignment horizontal="right" vertical="center"/>
      <protection/>
    </xf>
    <xf numFmtId="0" fontId="0" fillId="0" borderId="10" xfId="197" applyFont="1" applyBorder="1" applyAlignment="1">
      <alignment horizontal="right" vertical="center"/>
      <protection/>
    </xf>
    <xf numFmtId="188" fontId="0" fillId="0" borderId="10" xfId="197" applyNumberFormat="1" applyFont="1" applyBorder="1" applyAlignment="1">
      <alignment horizontal="right" vertical="center"/>
      <protection/>
    </xf>
    <xf numFmtId="188" fontId="0" fillId="0" borderId="10" xfId="198" applyNumberFormat="1" applyFont="1" applyBorder="1" applyAlignment="1">
      <alignment horizontal="right" vertical="center"/>
      <protection/>
    </xf>
    <xf numFmtId="0" fontId="0" fillId="0" borderId="0" xfId="206" applyFont="1" applyAlignment="1">
      <alignment vertical="center" wrapText="1"/>
      <protection/>
    </xf>
    <xf numFmtId="0" fontId="0" fillId="0" borderId="0" xfId="206" applyFont="1" applyAlignment="1">
      <alignment horizontal="center" vertical="center"/>
      <protection/>
    </xf>
    <xf numFmtId="0" fontId="50" fillId="0" borderId="0" xfId="195" applyFont="1" applyFill="1">
      <alignment/>
      <protection/>
    </xf>
    <xf numFmtId="203" fontId="11" fillId="0" borderId="10" xfId="293" applyNumberFormat="1" applyFont="1" applyFill="1" applyBorder="1" applyAlignment="1">
      <alignment horizontal="right" vertical="center" wrapText="1"/>
      <protection/>
    </xf>
    <xf numFmtId="182" fontId="157" fillId="0" borderId="10" xfId="120" applyNumberFormat="1" applyFont="1" applyFill="1" applyBorder="1" applyAlignment="1">
      <alignment vertical="center" wrapText="1"/>
    </xf>
    <xf numFmtId="0" fontId="63" fillId="0" borderId="0" xfId="195" applyFont="1" applyFill="1" applyAlignment="1">
      <alignment horizontal="right" vertical="center" wrapText="1"/>
      <protection/>
    </xf>
    <xf numFmtId="0" fontId="0" fillId="0" borderId="0" xfId="195" applyFont="1" applyFill="1" applyAlignment="1">
      <alignment horizontal="center"/>
      <protection/>
    </xf>
    <xf numFmtId="0" fontId="11" fillId="0" borderId="23" xfId="195" applyFont="1" applyFill="1" applyBorder="1" applyAlignment="1">
      <alignment vertical="center" wrapText="1"/>
      <protection/>
    </xf>
    <xf numFmtId="0" fontId="11" fillId="0" borderId="16" xfId="195" applyFont="1" applyFill="1" applyBorder="1" applyAlignment="1">
      <alignment vertical="center" wrapText="1"/>
      <protection/>
    </xf>
    <xf numFmtId="3" fontId="12" fillId="0" borderId="16" xfId="195" applyNumberFormat="1" applyFont="1" applyFill="1" applyBorder="1" applyAlignment="1">
      <alignment vertical="center" wrapText="1"/>
      <protection/>
    </xf>
    <xf numFmtId="1" fontId="12" fillId="0" borderId="16" xfId="195" applyNumberFormat="1" applyFont="1" applyFill="1" applyBorder="1" applyAlignment="1">
      <alignment vertical="center" wrapText="1"/>
      <protection/>
    </xf>
    <xf numFmtId="1" fontId="11" fillId="0" borderId="16" xfId="195" applyNumberFormat="1" applyFont="1" applyFill="1" applyBorder="1" applyAlignment="1">
      <alignment vertical="center" wrapText="1"/>
      <protection/>
    </xf>
    <xf numFmtId="3" fontId="11" fillId="0" borderId="16" xfId="195" applyNumberFormat="1" applyFont="1" applyFill="1" applyBorder="1" applyAlignment="1">
      <alignment vertical="center" wrapText="1"/>
      <protection/>
    </xf>
    <xf numFmtId="0" fontId="64" fillId="0" borderId="0" xfId="195" applyFont="1" applyFill="1">
      <alignment/>
      <protection/>
    </xf>
    <xf numFmtId="0" fontId="65" fillId="0" borderId="0" xfId="195" applyFont="1" applyFill="1">
      <alignment/>
      <protection/>
    </xf>
    <xf numFmtId="0" fontId="0" fillId="30" borderId="10" xfId="0" applyFont="1" applyFill="1" applyBorder="1" applyAlignment="1">
      <alignment vertical="center" wrapText="1"/>
    </xf>
    <xf numFmtId="2" fontId="4" fillId="0" borderId="10" xfId="134" applyNumberFormat="1" applyFont="1" applyBorder="1" applyAlignment="1">
      <alignment horizontal="right" vertical="center" wrapText="1"/>
    </xf>
    <xf numFmtId="4" fontId="4" fillId="0" borderId="10" xfId="134" applyNumberFormat="1" applyFont="1" applyBorder="1" applyAlignment="1">
      <alignment horizontal="right" vertical="center" wrapText="1"/>
    </xf>
    <xf numFmtId="4" fontId="0" fillId="0" borderId="10" xfId="93" applyNumberFormat="1" applyFont="1" applyBorder="1" applyAlignment="1">
      <alignment horizontal="right" vertical="center" wrapText="1"/>
    </xf>
    <xf numFmtId="4" fontId="4" fillId="0" borderId="10" xfId="91" applyNumberFormat="1" applyFont="1" applyBorder="1" applyAlignment="1">
      <alignment horizontal="right" vertical="center" wrapText="1"/>
    </xf>
    <xf numFmtId="4" fontId="5" fillId="0" borderId="10" xfId="91" applyNumberFormat="1" applyFont="1" applyBorder="1" applyAlignment="1">
      <alignment horizontal="right" vertical="center" wrapText="1"/>
    </xf>
    <xf numFmtId="4" fontId="0" fillId="0" borderId="10" xfId="91" applyNumberFormat="1" applyFont="1" applyBorder="1" applyAlignment="1">
      <alignment horizontal="right" vertical="center" wrapText="1"/>
    </xf>
    <xf numFmtId="0" fontId="8" fillId="0" borderId="10" xfId="0" applyFont="1" applyBorder="1" applyAlignment="1">
      <alignment horizontal="left" vertical="center" wrapText="1"/>
    </xf>
    <xf numFmtId="4" fontId="8" fillId="0" borderId="10" xfId="91" applyNumberFormat="1" applyFont="1" applyBorder="1" applyAlignment="1">
      <alignment horizontal="right" vertical="center" wrapText="1"/>
    </xf>
    <xf numFmtId="4" fontId="4" fillId="0" borderId="10" xfId="93" applyNumberFormat="1" applyFont="1" applyBorder="1" applyAlignment="1">
      <alignment horizontal="right" vertical="center" wrapText="1"/>
    </xf>
    <xf numFmtId="0" fontId="0" fillId="30" borderId="10" xfId="297" applyFont="1" applyFill="1" applyBorder="1" applyAlignment="1">
      <alignment horizontal="center" vertical="center" wrapText="1"/>
      <protection/>
    </xf>
    <xf numFmtId="0" fontId="0" fillId="30" borderId="10" xfId="297" applyFont="1" applyFill="1" applyBorder="1" applyAlignment="1">
      <alignment horizontal="right" vertical="center"/>
      <protection/>
    </xf>
    <xf numFmtId="4" fontId="0" fillId="30" borderId="10" xfId="297" applyNumberFormat="1" applyFont="1" applyFill="1" applyBorder="1" applyAlignment="1">
      <alignment horizontal="right" vertical="center"/>
      <protection/>
    </xf>
    <xf numFmtId="3" fontId="0" fillId="30" borderId="0" xfId="297" applyNumberFormat="1" applyFont="1" applyFill="1" applyAlignment="1">
      <alignment horizontal="right" vertical="center"/>
      <protection/>
    </xf>
    <xf numFmtId="3" fontId="0" fillId="30" borderId="10" xfId="297" applyNumberFormat="1" applyFont="1" applyFill="1" applyBorder="1" applyAlignment="1">
      <alignment horizontal="right" vertical="center"/>
      <protection/>
    </xf>
    <xf numFmtId="0" fontId="0" fillId="0" borderId="0" xfId="265" applyFont="1" applyAlignment="1">
      <alignment vertical="center"/>
      <protection/>
    </xf>
    <xf numFmtId="0" fontId="5" fillId="0" borderId="0" xfId="0" applyFont="1" applyAlignment="1">
      <alignment vertical="center"/>
    </xf>
    <xf numFmtId="0" fontId="5" fillId="0" borderId="22" xfId="206" applyFont="1" applyBorder="1" applyAlignment="1">
      <alignment horizontal="center" vertical="center" wrapText="1"/>
      <protection/>
    </xf>
    <xf numFmtId="0" fontId="53" fillId="0" borderId="22" xfId="206" applyFont="1" applyBorder="1" applyAlignment="1">
      <alignment horizontal="center" vertical="center" wrapText="1"/>
      <protection/>
    </xf>
    <xf numFmtId="0" fontId="11" fillId="0" borderId="10" xfId="195" applyFont="1" applyBorder="1" applyAlignment="1">
      <alignment horizontal="center" vertical="center" wrapText="1"/>
      <protection/>
    </xf>
    <xf numFmtId="0" fontId="11" fillId="0" borderId="10" xfId="291" applyFont="1" applyBorder="1" applyAlignment="1">
      <alignment horizontal="center" vertical="center" wrapText="1"/>
      <protection/>
    </xf>
    <xf numFmtId="4" fontId="8" fillId="0" borderId="10" xfId="91" applyNumberFormat="1" applyFont="1" applyFill="1" applyBorder="1" applyAlignment="1">
      <alignment horizontal="right" vertical="center" wrapText="1"/>
    </xf>
    <xf numFmtId="4" fontId="0" fillId="0" borderId="10" xfId="91" applyNumberFormat="1" applyFont="1" applyFill="1" applyBorder="1" applyAlignment="1">
      <alignment horizontal="right" vertical="center" wrapText="1"/>
    </xf>
    <xf numFmtId="4" fontId="5" fillId="0" borderId="10" xfId="91" applyNumberFormat="1" applyFont="1" applyFill="1" applyBorder="1" applyAlignment="1">
      <alignment horizontal="right" vertical="center" wrapText="1"/>
    </xf>
    <xf numFmtId="43" fontId="0" fillId="0" borderId="10" xfId="134" applyFont="1" applyBorder="1" applyAlignment="1">
      <alignment horizontal="right" vertical="center" wrapText="1"/>
    </xf>
    <xf numFmtId="182" fontId="0" fillId="0" borderId="10" xfId="95" applyNumberFormat="1" applyFont="1" applyBorder="1" applyAlignment="1" quotePrefix="1">
      <alignment horizontal="right" vertical="center" wrapText="1"/>
    </xf>
    <xf numFmtId="182" fontId="0" fillId="0" borderId="10" xfId="95" applyNumberFormat="1" applyFont="1" applyBorder="1" applyAlignment="1" applyProtection="1" quotePrefix="1">
      <alignment horizontal="right" vertical="center" wrapText="1"/>
      <protection locked="0"/>
    </xf>
    <xf numFmtId="49" fontId="4" fillId="0" borderId="10" xfId="0" applyNumberFormat="1" applyFont="1" applyBorder="1" applyAlignment="1">
      <alignment horizontal="center" vertical="center"/>
    </xf>
    <xf numFmtId="49" fontId="4" fillId="0" borderId="10" xfId="0" applyNumberFormat="1" applyFont="1" applyBorder="1" applyAlignment="1">
      <alignment vertical="center" wrapText="1"/>
    </xf>
    <xf numFmtId="0" fontId="4" fillId="0" borderId="10" xfId="0" applyFont="1" applyBorder="1" applyAlignment="1">
      <alignment horizontal="center" vertical="center" wrapText="1"/>
    </xf>
    <xf numFmtId="0" fontId="5" fillId="0" borderId="10" xfId="0" applyFont="1" applyBorder="1" applyAlignment="1">
      <alignment horizontal="left" vertical="center"/>
    </xf>
    <xf numFmtId="182" fontId="0" fillId="0" borderId="10" xfId="0" applyNumberFormat="1" applyFont="1" applyBorder="1" applyAlignment="1">
      <alignment horizontal="right" vertical="center" wrapText="1"/>
    </xf>
    <xf numFmtId="182" fontId="4" fillId="0" borderId="10" xfId="95" applyNumberFormat="1" applyFont="1" applyBorder="1" applyAlignment="1">
      <alignment horizontal="right" vertical="center" wrapText="1"/>
    </xf>
    <xf numFmtId="0" fontId="0" fillId="0" borderId="10" xfId="212" applyFont="1" applyBorder="1" applyAlignment="1">
      <alignment vertical="center" wrapText="1"/>
      <protection/>
    </xf>
    <xf numFmtId="0" fontId="0" fillId="0" borderId="10" xfId="212" applyFont="1" applyBorder="1" applyAlignment="1" quotePrefix="1">
      <alignment horizontal="center" vertical="center" wrapText="1"/>
      <protection/>
    </xf>
    <xf numFmtId="0" fontId="0" fillId="0" borderId="10" xfId="212" applyFont="1" applyBorder="1" applyAlignment="1">
      <alignment horizontal="left" vertical="center" wrapText="1"/>
      <protection/>
    </xf>
    <xf numFmtId="0" fontId="0" fillId="0" borderId="10" xfId="212" applyFont="1" applyBorder="1" applyAlignment="1" quotePrefix="1">
      <alignment vertical="center" wrapText="1"/>
      <protection/>
    </xf>
    <xf numFmtId="0" fontId="0" fillId="0" borderId="22" xfId="212" applyFont="1" applyBorder="1" applyAlignment="1">
      <alignment horizontal="center" vertical="center" wrapText="1"/>
      <protection/>
    </xf>
    <xf numFmtId="0" fontId="0" fillId="0" borderId="22" xfId="212" applyFont="1" applyBorder="1" applyAlignment="1">
      <alignment vertical="center" wrapText="1"/>
      <protection/>
    </xf>
    <xf numFmtId="191" fontId="0" fillId="0" borderId="10" xfId="93" applyNumberFormat="1" applyFont="1" applyBorder="1" applyAlignment="1">
      <alignment horizontal="right" vertical="center" wrapText="1"/>
    </xf>
    <xf numFmtId="43" fontId="0" fillId="0" borderId="10" xfId="93" applyFont="1" applyBorder="1" applyAlignment="1">
      <alignment horizontal="right" vertical="center" wrapText="1"/>
    </xf>
    <xf numFmtId="43" fontId="0" fillId="0" borderId="10" xfId="93" applyNumberFormat="1" applyFont="1" applyBorder="1" applyAlignment="1">
      <alignment horizontal="right" vertical="center" wrapText="1"/>
    </xf>
    <xf numFmtId="191" fontId="0" fillId="0" borderId="10" xfId="93" applyNumberFormat="1" applyFont="1" applyBorder="1" applyAlignment="1" quotePrefix="1">
      <alignment horizontal="right" vertical="center" wrapText="1"/>
    </xf>
    <xf numFmtId="3" fontId="0" fillId="0" borderId="10" xfId="0" applyNumberFormat="1" applyFont="1" applyFill="1" applyBorder="1" applyAlignment="1">
      <alignment vertical="center" wrapText="1"/>
    </xf>
    <xf numFmtId="190" fontId="0" fillId="0" borderId="10" xfId="206" applyNumberFormat="1" applyFont="1" applyBorder="1" applyAlignment="1">
      <alignment horizontal="right" vertical="center"/>
      <protection/>
    </xf>
    <xf numFmtId="3" fontId="0" fillId="0" borderId="10" xfId="206" applyNumberFormat="1" applyFont="1" applyBorder="1" applyAlignment="1">
      <alignment horizontal="right" vertical="center"/>
      <protection/>
    </xf>
    <xf numFmtId="0" fontId="0" fillId="0" borderId="10" xfId="0" applyFont="1" applyFill="1" applyBorder="1" applyAlignment="1">
      <alignment horizontal="right" vertical="center"/>
    </xf>
    <xf numFmtId="3" fontId="0" fillId="0" borderId="10" xfId="0" applyNumberFormat="1" applyFont="1" applyFill="1" applyBorder="1" applyAlignment="1">
      <alignment horizontal="right" vertical="center"/>
    </xf>
    <xf numFmtId="0" fontId="0" fillId="0" borderId="10" xfId="266" applyFont="1" applyFill="1" applyBorder="1" applyAlignment="1">
      <alignment horizontal="right" vertical="center"/>
      <protection/>
    </xf>
    <xf numFmtId="176" fontId="0" fillId="0" borderId="10" xfId="0" applyNumberFormat="1" applyFont="1" applyFill="1" applyBorder="1" applyAlignment="1">
      <alignment horizontal="right" vertical="center"/>
    </xf>
    <xf numFmtId="176" fontId="0" fillId="0" borderId="10" xfId="0" applyNumberFormat="1" applyFont="1" applyBorder="1" applyAlignment="1">
      <alignment horizontal="right" vertical="center"/>
    </xf>
    <xf numFmtId="188" fontId="0" fillId="0" borderId="10" xfId="266" applyNumberFormat="1" applyFont="1" applyBorder="1" applyAlignment="1">
      <alignment horizontal="right" vertical="center"/>
      <protection/>
    </xf>
    <xf numFmtId="188" fontId="0" fillId="0" borderId="10" xfId="282" applyNumberFormat="1" applyFont="1" applyBorder="1" applyAlignment="1">
      <alignment horizontal="right" vertical="center"/>
      <protection/>
    </xf>
    <xf numFmtId="0" fontId="0" fillId="0" borderId="10" xfId="284" applyFont="1" applyBorder="1" applyAlignment="1">
      <alignment horizontal="right" vertical="center"/>
      <protection/>
    </xf>
    <xf numFmtId="188" fontId="0" fillId="0" borderId="10" xfId="194" applyNumberFormat="1" applyFont="1" applyBorder="1" applyAlignment="1">
      <alignment horizontal="right" vertical="center"/>
      <protection/>
    </xf>
    <xf numFmtId="188" fontId="0" fillId="0" borderId="10" xfId="196" applyNumberFormat="1" applyFont="1" applyBorder="1" applyAlignment="1">
      <alignment horizontal="right" vertical="center"/>
      <protection/>
    </xf>
    <xf numFmtId="188" fontId="0" fillId="0" borderId="10" xfId="197" applyNumberFormat="1" applyFont="1" applyBorder="1" applyAlignment="1">
      <alignment horizontal="right" vertical="center"/>
      <protection/>
    </xf>
    <xf numFmtId="188" fontId="0" fillId="0" borderId="10" xfId="198" applyNumberFormat="1" applyFont="1" applyBorder="1" applyAlignment="1">
      <alignment horizontal="right" vertical="center"/>
      <protection/>
    </xf>
    <xf numFmtId="3" fontId="12" fillId="0" borderId="10" xfId="121" applyNumberFormat="1" applyFont="1" applyFill="1" applyBorder="1" applyAlignment="1">
      <alignment horizontal="right" vertical="center" wrapText="1"/>
    </xf>
    <xf numFmtId="176" fontId="12" fillId="0" borderId="10" xfId="293" applyNumberFormat="1" applyFont="1" applyFill="1" applyBorder="1" applyAlignment="1">
      <alignment horizontal="right" vertical="center" wrapText="1"/>
      <protection/>
    </xf>
    <xf numFmtId="3" fontId="11" fillId="0" borderId="10" xfId="293" applyNumberFormat="1" applyFont="1" applyFill="1" applyBorder="1" applyAlignment="1">
      <alignment horizontal="right" vertical="center" wrapText="1"/>
      <protection/>
    </xf>
    <xf numFmtId="0" fontId="51" fillId="0" borderId="10" xfId="293" applyFont="1" applyFill="1" applyBorder="1" applyAlignment="1">
      <alignment horizontal="center" vertical="center"/>
      <protection/>
    </xf>
    <xf numFmtId="0" fontId="51" fillId="0" borderId="10" xfId="293" applyFont="1" applyFill="1" applyBorder="1" applyAlignment="1">
      <alignment horizontal="left" vertical="center" wrapText="1"/>
      <protection/>
    </xf>
    <xf numFmtId="0" fontId="51" fillId="0" borderId="10" xfId="293" applyFont="1" applyFill="1" applyBorder="1" applyAlignment="1">
      <alignment horizontal="center" vertical="center" wrapText="1"/>
      <protection/>
    </xf>
    <xf numFmtId="205" fontId="11" fillId="0" borderId="10" xfId="293" applyNumberFormat="1" applyFont="1" applyFill="1" applyBorder="1" applyAlignment="1">
      <alignment horizontal="right" vertical="center" wrapText="1"/>
      <protection/>
    </xf>
    <xf numFmtId="0" fontId="11" fillId="0" borderId="10" xfId="195" applyFont="1" applyFill="1" applyBorder="1" applyAlignment="1">
      <alignment horizontal="right" vertical="center"/>
      <protection/>
    </xf>
    <xf numFmtId="1" fontId="11" fillId="0" borderId="10" xfId="195" applyNumberFormat="1" applyFont="1" applyFill="1" applyBorder="1" applyAlignment="1">
      <alignment horizontal="right" vertical="center"/>
      <protection/>
    </xf>
    <xf numFmtId="203" fontId="12" fillId="0" borderId="10" xfId="293" applyNumberFormat="1" applyFont="1" applyFill="1" applyBorder="1" applyAlignment="1">
      <alignment horizontal="right" vertical="center" wrapText="1"/>
      <protection/>
    </xf>
    <xf numFmtId="180" fontId="12" fillId="0" borderId="10" xfId="121" applyFont="1" applyFill="1" applyBorder="1" applyAlignment="1">
      <alignment horizontal="right" vertical="center" wrapText="1"/>
    </xf>
    <xf numFmtId="204" fontId="12" fillId="0" borderId="10" xfId="293" applyNumberFormat="1" applyFont="1" applyFill="1" applyBorder="1" applyAlignment="1">
      <alignment horizontal="right" vertical="center" wrapText="1"/>
      <protection/>
    </xf>
    <xf numFmtId="3" fontId="11" fillId="0" borderId="10" xfId="121" applyNumberFormat="1" applyFont="1" applyFill="1" applyBorder="1" applyAlignment="1">
      <alignment horizontal="right" vertical="center" wrapText="1"/>
    </xf>
    <xf numFmtId="3" fontId="12" fillId="0" borderId="10" xfId="293" applyNumberFormat="1" applyFont="1" applyFill="1" applyBorder="1" applyAlignment="1">
      <alignment horizontal="right" vertical="center" wrapText="1"/>
      <protection/>
    </xf>
    <xf numFmtId="182" fontId="12" fillId="0" borderId="10" xfId="120" applyNumberFormat="1" applyFont="1" applyFill="1" applyBorder="1" applyAlignment="1">
      <alignment horizontal="right" vertical="center" wrapText="1"/>
    </xf>
    <xf numFmtId="0" fontId="12" fillId="0" borderId="10" xfId="293" applyFont="1" applyFill="1" applyBorder="1" applyAlignment="1">
      <alignment horizontal="left" vertical="center" wrapText="1"/>
      <protection/>
    </xf>
    <xf numFmtId="0" fontId="12" fillId="0" borderId="10" xfId="294" applyFont="1" applyFill="1" applyBorder="1" applyAlignment="1">
      <alignment horizontal="left" vertical="center"/>
      <protection/>
    </xf>
    <xf numFmtId="0" fontId="51" fillId="0" borderId="22" xfId="293" applyFont="1" applyFill="1" applyBorder="1" applyAlignment="1">
      <alignment horizontal="center" vertical="center"/>
      <protection/>
    </xf>
    <xf numFmtId="3" fontId="50" fillId="0" borderId="0" xfId="195" applyNumberFormat="1" applyFont="1" applyFill="1">
      <alignment/>
      <protection/>
    </xf>
    <xf numFmtId="0" fontId="12" fillId="0" borderId="4" xfId="293" applyFont="1" applyFill="1" applyBorder="1" applyAlignment="1">
      <alignment horizontal="center" vertical="center"/>
      <protection/>
    </xf>
    <xf numFmtId="0" fontId="12" fillId="0" borderId="10" xfId="293" applyFont="1" applyFill="1" applyBorder="1" applyAlignment="1">
      <alignment horizontal="center" vertical="center" wrapText="1"/>
      <protection/>
    </xf>
    <xf numFmtId="0" fontId="12" fillId="0" borderId="10" xfId="293" applyFont="1" applyFill="1" applyBorder="1" applyAlignment="1">
      <alignment horizontal="center" vertical="center"/>
      <protection/>
    </xf>
    <xf numFmtId="204" fontId="51" fillId="0" borderId="10" xfId="120" applyNumberFormat="1" applyFont="1" applyFill="1" applyBorder="1" applyAlignment="1">
      <alignment horizontal="right" vertical="center" wrapText="1"/>
    </xf>
    <xf numFmtId="203" fontId="12" fillId="0" borderId="10" xfId="287" applyNumberFormat="1" applyFont="1" applyFill="1" applyBorder="1" applyAlignment="1">
      <alignment horizontal="right" vertical="center" wrapText="1"/>
      <protection/>
    </xf>
    <xf numFmtId="203" fontId="51" fillId="0" borderId="10" xfId="120" applyNumberFormat="1" applyFont="1" applyFill="1" applyBorder="1" applyAlignment="1">
      <alignment horizontal="right" vertical="center" wrapText="1"/>
    </xf>
    <xf numFmtId="176" fontId="12" fillId="0" borderId="10" xfId="121" applyNumberFormat="1" applyFont="1" applyFill="1" applyBorder="1" applyAlignment="1">
      <alignment horizontal="right" vertical="center" wrapText="1"/>
    </xf>
    <xf numFmtId="176" fontId="12" fillId="0" borderId="10" xfId="287" applyNumberFormat="1" applyFont="1" applyFill="1" applyBorder="1" applyAlignment="1" quotePrefix="1">
      <alignment horizontal="right" vertical="center" wrapText="1"/>
      <protection/>
    </xf>
    <xf numFmtId="182" fontId="12" fillId="0" borderId="10" xfId="100" applyNumberFormat="1" applyFont="1" applyFill="1" applyBorder="1" applyAlignment="1">
      <alignment horizontal="right" vertical="center" wrapText="1"/>
    </xf>
    <xf numFmtId="188" fontId="12" fillId="0" borderId="10" xfId="293" applyNumberFormat="1" applyFont="1" applyFill="1" applyBorder="1" applyAlignment="1">
      <alignment horizontal="right" vertical="center" wrapText="1"/>
      <protection/>
    </xf>
    <xf numFmtId="0" fontId="12" fillId="0" borderId="10" xfId="293" applyFont="1" applyFill="1" applyBorder="1" applyAlignment="1">
      <alignment horizontal="right" vertical="center" wrapText="1"/>
      <protection/>
    </xf>
    <xf numFmtId="0" fontId="12" fillId="0" borderId="10" xfId="290" applyFont="1" applyFill="1" applyBorder="1" applyAlignment="1">
      <alignment horizontal="right" vertical="center" wrapText="1"/>
      <protection/>
    </xf>
    <xf numFmtId="179" fontId="12" fillId="0" borderId="10" xfId="120" applyNumberFormat="1" applyFont="1" applyFill="1" applyBorder="1" applyAlignment="1">
      <alignment horizontal="right" vertical="center" wrapText="1"/>
    </xf>
    <xf numFmtId="0" fontId="12" fillId="0" borderId="10" xfId="287" applyFont="1" applyFill="1" applyBorder="1" applyAlignment="1">
      <alignment horizontal="right" vertical="center" wrapText="1"/>
      <protection/>
    </xf>
    <xf numFmtId="3" fontId="12" fillId="0" borderId="10" xfId="287" applyNumberFormat="1" applyFont="1" applyFill="1" applyBorder="1" applyAlignment="1">
      <alignment horizontal="right" vertical="center" wrapText="1"/>
      <protection/>
    </xf>
    <xf numFmtId="203" fontId="11" fillId="0" borderId="10" xfId="121" applyNumberFormat="1" applyFont="1" applyFill="1" applyBorder="1" applyAlignment="1">
      <alignment horizontal="right" vertical="center" wrapText="1"/>
    </xf>
    <xf numFmtId="203" fontId="12" fillId="0" borderId="10" xfId="121" applyNumberFormat="1" applyFont="1" applyFill="1" applyBorder="1" applyAlignment="1">
      <alignment horizontal="right" vertical="center" wrapText="1"/>
    </xf>
    <xf numFmtId="0" fontId="11" fillId="0" borderId="0" xfId="195" applyFont="1" applyFill="1">
      <alignment/>
      <protection/>
    </xf>
    <xf numFmtId="0" fontId="50" fillId="0" borderId="0" xfId="195" applyFont="1" applyFill="1" applyAlignment="1">
      <alignment vertical="center"/>
      <protection/>
    </xf>
    <xf numFmtId="0" fontId="11" fillId="0" borderId="22" xfId="293" applyFont="1" applyFill="1" applyBorder="1" applyAlignment="1">
      <alignment horizontal="center" vertical="center" wrapText="1"/>
      <protection/>
    </xf>
    <xf numFmtId="0" fontId="57" fillId="0" borderId="10" xfId="291" applyFont="1" applyFill="1" applyBorder="1" applyAlignment="1">
      <alignment horizontal="center" vertical="center" wrapText="1"/>
      <protection/>
    </xf>
    <xf numFmtId="0" fontId="11" fillId="0" borderId="10" xfId="293" applyFont="1" applyFill="1" applyBorder="1" applyAlignment="1">
      <alignment horizontal="center" vertical="center"/>
      <protection/>
    </xf>
    <xf numFmtId="0" fontId="11" fillId="0" borderId="10" xfId="293" applyFont="1" applyFill="1" applyBorder="1" applyAlignment="1">
      <alignment horizontal="left" vertical="center" wrapText="1"/>
      <protection/>
    </xf>
    <xf numFmtId="0" fontId="11" fillId="0" borderId="10" xfId="293" applyFont="1" applyFill="1" applyBorder="1" applyAlignment="1">
      <alignment horizontal="center" vertical="center" wrapText="1"/>
      <protection/>
    </xf>
    <xf numFmtId="188" fontId="12" fillId="0" borderId="10" xfId="290" applyNumberFormat="1" applyFont="1" applyFill="1" applyBorder="1" applyAlignment="1">
      <alignment horizontal="right" vertical="center" wrapText="1"/>
      <protection/>
    </xf>
    <xf numFmtId="203" fontId="12" fillId="0" borderId="10" xfId="17" applyNumberFormat="1" applyFont="1" applyFill="1" applyBorder="1" applyAlignment="1">
      <alignment horizontal="right" vertical="center" wrapText="1"/>
      <protection/>
    </xf>
    <xf numFmtId="203" fontId="12" fillId="0" borderId="10" xfId="120" applyNumberFormat="1" applyFont="1" applyFill="1" applyBorder="1" applyAlignment="1">
      <alignment horizontal="right" vertical="center" wrapText="1"/>
    </xf>
    <xf numFmtId="0" fontId="51" fillId="0" borderId="10" xfId="293" applyFont="1" applyFill="1" applyBorder="1" applyAlignment="1">
      <alignment horizontal="center" vertical="center"/>
      <protection/>
    </xf>
    <xf numFmtId="0" fontId="51" fillId="0" borderId="10" xfId="293" applyFont="1" applyFill="1" applyBorder="1" applyAlignment="1">
      <alignment horizontal="left" vertical="center" wrapText="1"/>
      <protection/>
    </xf>
    <xf numFmtId="0" fontId="51" fillId="0" borderId="10" xfId="293" applyFont="1" applyFill="1" applyBorder="1" applyAlignment="1">
      <alignment horizontal="center" vertical="center" wrapText="1"/>
      <protection/>
    </xf>
    <xf numFmtId="203" fontId="51" fillId="0" borderId="10" xfId="290" applyNumberFormat="1" applyFont="1" applyFill="1" applyBorder="1" applyAlignment="1">
      <alignment horizontal="right" vertical="center" wrapText="1"/>
      <protection/>
    </xf>
    <xf numFmtId="0" fontId="51" fillId="0" borderId="10" xfId="290" applyFont="1" applyFill="1" applyBorder="1" applyAlignment="1">
      <alignment horizontal="right" vertical="center" wrapText="1"/>
      <protection/>
    </xf>
    <xf numFmtId="188" fontId="51" fillId="0" borderId="10" xfId="293" applyNumberFormat="1" applyFont="1" applyFill="1" applyBorder="1" applyAlignment="1">
      <alignment horizontal="right" vertical="center" wrapText="1"/>
      <protection/>
    </xf>
    <xf numFmtId="0" fontId="58" fillId="0" borderId="0" xfId="195" applyFont="1" applyFill="1">
      <alignment/>
      <protection/>
    </xf>
    <xf numFmtId="188" fontId="12" fillId="0" borderId="10" xfId="293" applyNumberFormat="1" applyFont="1" applyFill="1" applyBorder="1" applyAlignment="1">
      <alignment horizontal="right" vertical="center"/>
      <protection/>
    </xf>
    <xf numFmtId="0" fontId="12" fillId="0" borderId="10" xfId="195" applyFont="1" applyFill="1" applyBorder="1" applyAlignment="1">
      <alignment horizontal="left" vertical="center" wrapText="1"/>
      <protection/>
    </xf>
    <xf numFmtId="0" fontId="12" fillId="0" borderId="10" xfId="195" applyFont="1" applyFill="1" applyBorder="1" applyAlignment="1">
      <alignment horizontal="center" vertical="center"/>
      <protection/>
    </xf>
    <xf numFmtId="188" fontId="12" fillId="0" borderId="10" xfId="0" applyNumberFormat="1" applyFont="1" applyFill="1" applyBorder="1" applyAlignment="1">
      <alignment horizontal="right" vertical="center"/>
    </xf>
    <xf numFmtId="188" fontId="51" fillId="0" borderId="10" xfId="290" applyNumberFormat="1" applyFont="1" applyFill="1" applyBorder="1" applyAlignment="1">
      <alignment horizontal="right" vertical="center" wrapText="1"/>
      <protection/>
    </xf>
    <xf numFmtId="179" fontId="51" fillId="0" borderId="10" xfId="120" applyNumberFormat="1" applyFont="1" applyFill="1" applyBorder="1" applyAlignment="1">
      <alignment horizontal="right" vertical="center" wrapText="1"/>
    </xf>
    <xf numFmtId="188" fontId="51" fillId="0" borderId="10" xfId="293" applyNumberFormat="1" applyFont="1" applyFill="1" applyBorder="1" applyAlignment="1">
      <alignment horizontal="right" vertical="center"/>
      <protection/>
    </xf>
    <xf numFmtId="203" fontId="12" fillId="0" borderId="10" xfId="290" applyNumberFormat="1" applyFont="1" applyFill="1" applyBorder="1" applyAlignment="1">
      <alignment horizontal="right" vertical="center" wrapText="1"/>
      <protection/>
    </xf>
    <xf numFmtId="176" fontId="12" fillId="0" borderId="10" xfId="290" applyNumberFormat="1" applyFont="1" applyFill="1" applyBorder="1" applyAlignment="1">
      <alignment horizontal="right" vertical="center" wrapText="1"/>
      <protection/>
    </xf>
    <xf numFmtId="4" fontId="12" fillId="0" borderId="10" xfId="293" applyNumberFormat="1" applyFont="1" applyFill="1" applyBorder="1" applyAlignment="1">
      <alignment horizontal="right" vertical="center" wrapText="1"/>
      <protection/>
    </xf>
    <xf numFmtId="176" fontId="51" fillId="0" borderId="10" xfId="293" applyNumberFormat="1" applyFont="1" applyFill="1" applyBorder="1" applyAlignment="1">
      <alignment horizontal="right" vertical="center" wrapText="1"/>
      <protection/>
    </xf>
    <xf numFmtId="176" fontId="51" fillId="0" borderId="10" xfId="290" applyNumberFormat="1" applyFont="1" applyFill="1" applyBorder="1" applyAlignment="1">
      <alignment horizontal="right" vertical="center" wrapText="1"/>
      <protection/>
    </xf>
    <xf numFmtId="4" fontId="51" fillId="0" borderId="10" xfId="293" applyNumberFormat="1" applyFont="1" applyFill="1" applyBorder="1" applyAlignment="1">
      <alignment horizontal="right" vertical="center" wrapText="1"/>
      <protection/>
    </xf>
    <xf numFmtId="0" fontId="51" fillId="0" borderId="10" xfId="293" applyFont="1" applyFill="1" applyBorder="1" applyAlignment="1">
      <alignment horizontal="right" vertical="center" wrapText="1"/>
      <protection/>
    </xf>
    <xf numFmtId="188" fontId="12" fillId="0" borderId="10" xfId="287" applyNumberFormat="1" applyFont="1" applyFill="1" applyBorder="1" applyAlignment="1">
      <alignment horizontal="right" vertical="center" wrapText="1"/>
      <protection/>
    </xf>
    <xf numFmtId="203" fontId="51" fillId="0" borderId="10" xfId="293" applyNumberFormat="1" applyFont="1" applyFill="1" applyBorder="1" applyAlignment="1">
      <alignment horizontal="right" vertical="center" wrapText="1"/>
      <protection/>
    </xf>
    <xf numFmtId="4" fontId="12" fillId="0" borderId="10" xfId="290" applyNumberFormat="1" applyFont="1" applyFill="1" applyBorder="1" applyAlignment="1">
      <alignment horizontal="right" vertical="center" wrapText="1"/>
      <protection/>
    </xf>
    <xf numFmtId="176" fontId="12" fillId="0" borderId="10" xfId="120" applyNumberFormat="1" applyFont="1" applyFill="1" applyBorder="1" applyAlignment="1">
      <alignment horizontal="right" vertical="center" wrapText="1"/>
    </xf>
    <xf numFmtId="171" fontId="12" fillId="0" borderId="10" xfId="290" applyNumberFormat="1" applyFont="1" applyFill="1" applyBorder="1" applyAlignment="1">
      <alignment horizontal="right" vertical="center" wrapText="1"/>
      <protection/>
    </xf>
    <xf numFmtId="0" fontId="12" fillId="0" borderId="22" xfId="293" applyFont="1" applyFill="1" applyBorder="1" applyAlignment="1">
      <alignment horizontal="center" vertical="center"/>
      <protection/>
    </xf>
    <xf numFmtId="2" fontId="12" fillId="0" borderId="10" xfId="293" applyNumberFormat="1" applyFont="1" applyFill="1" applyBorder="1" applyAlignment="1">
      <alignment horizontal="right" vertical="center" wrapText="1"/>
      <protection/>
    </xf>
    <xf numFmtId="1" fontId="12" fillId="0" borderId="10" xfId="293" applyNumberFormat="1" applyFont="1" applyFill="1" applyBorder="1" applyAlignment="1">
      <alignment horizontal="right" vertical="center" wrapText="1"/>
      <protection/>
    </xf>
    <xf numFmtId="171" fontId="12" fillId="0" borderId="10" xfId="120" applyNumberFormat="1" applyFont="1" applyFill="1" applyBorder="1" applyAlignment="1">
      <alignment horizontal="right" vertical="center" wrapText="1"/>
    </xf>
    <xf numFmtId="2" fontId="51" fillId="0" borderId="10" xfId="293" applyNumberFormat="1" applyFont="1" applyFill="1" applyBorder="1" applyAlignment="1">
      <alignment horizontal="right" vertical="center" wrapText="1"/>
      <protection/>
    </xf>
    <xf numFmtId="171" fontId="51" fillId="0" borderId="10" xfId="120" applyNumberFormat="1" applyFont="1" applyFill="1" applyBorder="1" applyAlignment="1">
      <alignment horizontal="right" vertical="center" wrapText="1"/>
    </xf>
    <xf numFmtId="0" fontId="12" fillId="0" borderId="10" xfId="294" applyFont="1" applyFill="1" applyBorder="1" applyAlignment="1">
      <alignment horizontal="center" vertical="center"/>
      <protection/>
    </xf>
    <xf numFmtId="171" fontId="12" fillId="0" borderId="10" xfId="293" applyNumberFormat="1" applyFont="1" applyFill="1" applyBorder="1" applyAlignment="1">
      <alignment horizontal="right" vertical="center" wrapText="1"/>
      <protection/>
    </xf>
    <xf numFmtId="176" fontId="51" fillId="0" borderId="10" xfId="287" applyNumberFormat="1" applyFont="1" applyFill="1" applyBorder="1" applyAlignment="1">
      <alignment horizontal="right" vertical="center" wrapText="1"/>
      <protection/>
    </xf>
    <xf numFmtId="171" fontId="51" fillId="0" borderId="10" xfId="293" applyNumberFormat="1" applyFont="1" applyFill="1" applyBorder="1" applyAlignment="1">
      <alignment horizontal="right" vertical="center" wrapText="1"/>
      <protection/>
    </xf>
    <xf numFmtId="204" fontId="51" fillId="0" borderId="10" xfId="293" applyNumberFormat="1" applyFont="1" applyFill="1" applyBorder="1" applyAlignment="1">
      <alignment horizontal="right" vertical="center" wrapText="1"/>
      <protection/>
    </xf>
    <xf numFmtId="0" fontId="12" fillId="0" borderId="25" xfId="293" applyFont="1" applyFill="1" applyBorder="1" applyAlignment="1">
      <alignment horizontal="center" vertical="center"/>
      <protection/>
    </xf>
    <xf numFmtId="9" fontId="12" fillId="0" borderId="10" xfId="293" applyNumberFormat="1" applyFont="1" applyFill="1" applyBorder="1" applyAlignment="1">
      <alignment horizontal="center" vertical="center" wrapText="1"/>
      <protection/>
    </xf>
    <xf numFmtId="3" fontId="12" fillId="0" borderId="10" xfId="120" applyNumberFormat="1" applyFont="1" applyFill="1" applyBorder="1" applyAlignment="1">
      <alignment horizontal="right" vertical="center" wrapText="1"/>
    </xf>
    <xf numFmtId="0" fontId="53" fillId="0" borderId="0" xfId="195" applyFont="1" applyFill="1">
      <alignment/>
      <protection/>
    </xf>
    <xf numFmtId="3" fontId="53" fillId="0" borderId="0" xfId="195" applyNumberFormat="1" applyFont="1" applyFill="1">
      <alignment/>
      <protection/>
    </xf>
    <xf numFmtId="0" fontId="11" fillId="0" borderId="10" xfId="293" applyFont="1" applyFill="1" applyBorder="1" applyAlignment="1">
      <alignment horizontal="center" vertical="center"/>
      <protection/>
    </xf>
    <xf numFmtId="0" fontId="11" fillId="0" borderId="10" xfId="293" applyFont="1" applyFill="1" applyBorder="1" applyAlignment="1">
      <alignment horizontal="left" vertical="center" wrapText="1"/>
      <protection/>
    </xf>
    <xf numFmtId="0" fontId="11" fillId="0" borderId="10" xfId="293" applyFont="1" applyFill="1" applyBorder="1" applyAlignment="1">
      <alignment horizontal="center" vertical="center" wrapText="1"/>
      <protection/>
    </xf>
    <xf numFmtId="188" fontId="11" fillId="0" borderId="10" xfId="293" applyNumberFormat="1" applyFont="1" applyFill="1" applyBorder="1" applyAlignment="1">
      <alignment horizontal="right" vertical="center" wrapText="1"/>
      <protection/>
    </xf>
    <xf numFmtId="1" fontId="11" fillId="0" borderId="10" xfId="293" applyNumberFormat="1" applyFont="1" applyFill="1" applyBorder="1" applyAlignment="1">
      <alignment horizontal="right" vertical="center" wrapText="1"/>
      <protection/>
    </xf>
    <xf numFmtId="0" fontId="51" fillId="0" borderId="4" xfId="293" applyFont="1" applyFill="1" applyBorder="1" applyAlignment="1">
      <alignment horizontal="center" vertical="center"/>
      <protection/>
    </xf>
    <xf numFmtId="0" fontId="11" fillId="0" borderId="10" xfId="293" applyFont="1" applyFill="1" applyBorder="1" applyAlignment="1">
      <alignment horizontal="right" vertical="center" wrapText="1"/>
      <protection/>
    </xf>
    <xf numFmtId="3" fontId="51" fillId="0" borderId="10" xfId="120" applyNumberFormat="1" applyFont="1" applyFill="1" applyBorder="1" applyAlignment="1">
      <alignment horizontal="right" vertical="center" wrapText="1"/>
    </xf>
    <xf numFmtId="179" fontId="51" fillId="0" borderId="10" xfId="290" applyNumberFormat="1" applyFont="1" applyFill="1" applyBorder="1" applyAlignment="1">
      <alignment horizontal="right" vertical="center" wrapText="1"/>
      <protection/>
    </xf>
    <xf numFmtId="3" fontId="58" fillId="0" borderId="0" xfId="195" applyNumberFormat="1" applyFont="1" applyFill="1">
      <alignment/>
      <protection/>
    </xf>
    <xf numFmtId="0" fontId="11" fillId="0" borderId="10" xfId="289" applyFont="1" applyFill="1" applyBorder="1" applyAlignment="1">
      <alignment horizontal="right" vertical="center" wrapText="1"/>
      <protection/>
    </xf>
    <xf numFmtId="182" fontId="11" fillId="0" borderId="10" xfId="100" applyNumberFormat="1" applyFont="1" applyFill="1" applyBorder="1" applyAlignment="1">
      <alignment horizontal="right" vertical="center" wrapText="1"/>
    </xf>
    <xf numFmtId="0" fontId="53" fillId="0" borderId="0" xfId="195" applyFont="1" applyFill="1">
      <alignment/>
      <protection/>
    </xf>
    <xf numFmtId="3" fontId="53" fillId="0" borderId="0" xfId="195" applyNumberFormat="1" applyFont="1" applyFill="1">
      <alignment/>
      <protection/>
    </xf>
    <xf numFmtId="0" fontId="11" fillId="0" borderId="25" xfId="293" applyFont="1" applyFill="1" applyBorder="1" applyAlignment="1">
      <alignment horizontal="center" vertical="center"/>
      <protection/>
    </xf>
    <xf numFmtId="204" fontId="11" fillId="0" borderId="10" xfId="293" applyNumberFormat="1" applyFont="1" applyFill="1" applyBorder="1" applyAlignment="1">
      <alignment horizontal="right" vertical="center" wrapText="1"/>
      <protection/>
    </xf>
    <xf numFmtId="0" fontId="12" fillId="0" borderId="10" xfId="195" applyFont="1" applyFill="1" applyBorder="1" applyAlignment="1">
      <alignment horizontal="right" vertical="center"/>
      <protection/>
    </xf>
    <xf numFmtId="1" fontId="12" fillId="0" borderId="10" xfId="195" applyNumberFormat="1" applyFont="1" applyFill="1" applyBorder="1" applyAlignment="1">
      <alignment horizontal="right" vertical="center"/>
      <protection/>
    </xf>
    <xf numFmtId="191" fontId="11" fillId="0" borderId="10" xfId="121" applyNumberFormat="1" applyFont="1" applyFill="1" applyBorder="1" applyAlignment="1">
      <alignment horizontal="right" vertical="center"/>
    </xf>
    <xf numFmtId="1" fontId="12" fillId="0" borderId="10" xfId="121" applyNumberFormat="1" applyFont="1" applyFill="1" applyBorder="1" applyAlignment="1">
      <alignment horizontal="right" vertical="center"/>
    </xf>
    <xf numFmtId="176" fontId="12" fillId="0" borderId="10" xfId="289" applyNumberFormat="1" applyFont="1" applyFill="1" applyBorder="1" applyAlignment="1">
      <alignment horizontal="right" vertical="center" wrapText="1"/>
      <protection/>
    </xf>
    <xf numFmtId="3" fontId="12" fillId="0" borderId="10" xfId="289" applyNumberFormat="1" applyFont="1" applyFill="1" applyBorder="1" applyAlignment="1">
      <alignment horizontal="right" vertical="center" wrapText="1"/>
      <protection/>
    </xf>
    <xf numFmtId="1" fontId="12" fillId="0" borderId="10" xfId="290" applyNumberFormat="1" applyFont="1" applyFill="1" applyBorder="1" applyAlignment="1">
      <alignment horizontal="right" vertical="center" wrapText="1"/>
      <protection/>
    </xf>
    <xf numFmtId="205" fontId="12" fillId="0" borderId="10" xfId="293" applyNumberFormat="1" applyFont="1" applyFill="1" applyBorder="1" applyAlignment="1">
      <alignment horizontal="right" vertical="center" wrapText="1"/>
      <protection/>
    </xf>
    <xf numFmtId="38" fontId="12" fillId="0" borderId="10" xfId="120" applyNumberFormat="1" applyFont="1" applyFill="1" applyBorder="1" applyAlignment="1">
      <alignment horizontal="right" vertical="center" wrapText="1"/>
    </xf>
    <xf numFmtId="38" fontId="12" fillId="0" borderId="10" xfId="290" applyNumberFormat="1" applyFont="1" applyFill="1" applyBorder="1" applyAlignment="1">
      <alignment horizontal="right" vertical="center" wrapText="1"/>
      <protection/>
    </xf>
    <xf numFmtId="38" fontId="12" fillId="0" borderId="10" xfId="293" applyNumberFormat="1" applyFont="1" applyFill="1" applyBorder="1" applyAlignment="1">
      <alignment horizontal="right" vertical="center" wrapText="1"/>
      <protection/>
    </xf>
    <xf numFmtId="3" fontId="11" fillId="0" borderId="10" xfId="120" applyNumberFormat="1" applyFont="1" applyFill="1" applyBorder="1" applyAlignment="1">
      <alignment horizontal="right" vertical="center" wrapText="1"/>
    </xf>
    <xf numFmtId="182" fontId="11" fillId="0" borderId="10" xfId="120" applyNumberFormat="1" applyFont="1" applyFill="1" applyBorder="1" applyAlignment="1">
      <alignment horizontal="right" vertical="center" wrapText="1"/>
    </xf>
    <xf numFmtId="204" fontId="12" fillId="0" borderId="10" xfId="287" applyNumberFormat="1" applyFont="1" applyFill="1" applyBorder="1" applyAlignment="1">
      <alignment horizontal="right" vertical="center" wrapText="1"/>
      <protection/>
    </xf>
    <xf numFmtId="2" fontId="12" fillId="0" borderId="10" xfId="290" applyNumberFormat="1" applyFont="1" applyFill="1" applyBorder="1" applyAlignment="1">
      <alignment horizontal="right" vertical="center" wrapText="1"/>
      <protection/>
    </xf>
    <xf numFmtId="182" fontId="12" fillId="0" borderId="10" xfId="293" applyNumberFormat="1" applyFont="1" applyFill="1" applyBorder="1" applyAlignment="1">
      <alignment horizontal="right" vertical="center" wrapText="1"/>
      <protection/>
    </xf>
    <xf numFmtId="4" fontId="12" fillId="0" borderId="10" xfId="287" applyNumberFormat="1" applyFont="1" applyFill="1" applyBorder="1" applyAlignment="1">
      <alignment horizontal="right" vertical="center" wrapText="1"/>
      <protection/>
    </xf>
    <xf numFmtId="0" fontId="12" fillId="0" borderId="10" xfId="293" applyFont="1" applyFill="1" applyBorder="1" applyAlignment="1">
      <alignment horizontal="center" vertical="center"/>
      <protection/>
    </xf>
    <xf numFmtId="0" fontId="12" fillId="0" borderId="10" xfId="293" applyFont="1" applyFill="1" applyBorder="1" applyAlignment="1">
      <alignment horizontal="left" vertical="center" wrapText="1"/>
      <protection/>
    </xf>
    <xf numFmtId="0" fontId="12" fillId="0" borderId="10" xfId="293" applyFont="1" applyFill="1" applyBorder="1" applyAlignment="1">
      <alignment horizontal="center" vertical="center" wrapText="1"/>
      <protection/>
    </xf>
    <xf numFmtId="3" fontId="11" fillId="0" borderId="10" xfId="290" applyNumberFormat="1" applyFont="1" applyFill="1" applyBorder="1" applyAlignment="1">
      <alignment horizontal="right" vertical="center" wrapText="1"/>
      <protection/>
    </xf>
    <xf numFmtId="4" fontId="12" fillId="0" borderId="10" xfId="120" applyNumberFormat="1" applyFont="1" applyFill="1" applyBorder="1" applyAlignment="1">
      <alignment horizontal="right" vertical="center" wrapText="1"/>
    </xf>
    <xf numFmtId="189" fontId="12" fillId="0" borderId="10" xfId="293" applyNumberFormat="1" applyFont="1" applyFill="1" applyBorder="1" applyAlignment="1">
      <alignment horizontal="right" vertical="center" wrapText="1"/>
      <protection/>
    </xf>
    <xf numFmtId="2" fontId="12" fillId="0" borderId="10" xfId="0" applyNumberFormat="1" applyFont="1" applyFill="1" applyBorder="1" applyAlignment="1">
      <alignment horizontal="right" vertical="center" wrapText="1"/>
    </xf>
    <xf numFmtId="0" fontId="50" fillId="0" borderId="0" xfId="195" applyFont="1" applyFill="1">
      <alignment/>
      <protection/>
    </xf>
    <xf numFmtId="3" fontId="50" fillId="0" borderId="0" xfId="195" applyNumberFormat="1" applyFont="1" applyFill="1">
      <alignment/>
      <protection/>
    </xf>
    <xf numFmtId="3" fontId="11" fillId="0" borderId="10" xfId="0" applyNumberFormat="1" applyFont="1" applyFill="1" applyBorder="1" applyAlignment="1">
      <alignment horizontal="right" vertical="center"/>
    </xf>
    <xf numFmtId="3" fontId="12" fillId="0" borderId="10" xfId="0" applyNumberFormat="1" applyFont="1" applyFill="1" applyBorder="1" applyAlignment="1">
      <alignment horizontal="right" vertical="center"/>
    </xf>
    <xf numFmtId="171" fontId="12" fillId="0" borderId="10" xfId="100" applyFont="1" applyFill="1" applyBorder="1" applyAlignment="1">
      <alignment horizontal="right" vertical="center"/>
    </xf>
    <xf numFmtId="3" fontId="12" fillId="0" borderId="10" xfId="290" applyNumberFormat="1" applyFont="1" applyFill="1" applyBorder="1" applyAlignment="1">
      <alignment horizontal="right" vertical="center" wrapText="1"/>
      <protection/>
    </xf>
    <xf numFmtId="0" fontId="12" fillId="0" borderId="25" xfId="293" applyFont="1" applyFill="1" applyBorder="1" applyAlignment="1">
      <alignment horizontal="center" vertical="center" wrapText="1"/>
      <protection/>
    </xf>
    <xf numFmtId="2" fontId="158" fillId="0" borderId="10" xfId="290" applyNumberFormat="1" applyFont="1" applyFill="1" applyBorder="1" applyAlignment="1">
      <alignment vertical="center" wrapText="1"/>
      <protection/>
    </xf>
    <xf numFmtId="2" fontId="158" fillId="0" borderId="10" xfId="290" applyNumberFormat="1" applyFont="1" applyFill="1" applyBorder="1" applyAlignment="1">
      <alignment horizontal="center" vertical="center" wrapText="1"/>
      <protection/>
    </xf>
    <xf numFmtId="3" fontId="100" fillId="0" borderId="10" xfId="287" applyNumberFormat="1" applyFont="1" applyFill="1" applyBorder="1" applyAlignment="1">
      <alignment horizontal="right" vertical="center" wrapText="1"/>
      <protection/>
    </xf>
    <xf numFmtId="2" fontId="11" fillId="0" borderId="10" xfId="290" applyNumberFormat="1" applyFont="1" applyFill="1" applyBorder="1" applyAlignment="1">
      <alignment horizontal="right" vertical="center" wrapText="1"/>
      <protection/>
    </xf>
    <xf numFmtId="0" fontId="51" fillId="0" borderId="10" xfId="293" applyFont="1" applyFill="1" applyBorder="1" applyAlignment="1" quotePrefix="1">
      <alignment horizontal="left" vertical="center" wrapText="1"/>
      <protection/>
    </xf>
    <xf numFmtId="179" fontId="12" fillId="0" borderId="10" xfId="100" applyNumberFormat="1" applyFont="1" applyFill="1" applyBorder="1" applyAlignment="1">
      <alignment horizontal="right" vertical="center" wrapText="1"/>
    </xf>
    <xf numFmtId="188" fontId="58" fillId="0" borderId="0" xfId="195" applyNumberFormat="1" applyFont="1" applyFill="1">
      <alignment/>
      <protection/>
    </xf>
    <xf numFmtId="179" fontId="12" fillId="0" borderId="10" xfId="118" applyNumberFormat="1" applyFont="1" applyFill="1" applyBorder="1" applyAlignment="1">
      <alignment horizontal="right" vertical="center" wrapText="1"/>
    </xf>
    <xf numFmtId="176" fontId="12" fillId="34" borderId="16" xfId="195" applyNumberFormat="1" applyFont="1" applyFill="1" applyBorder="1" applyAlignment="1">
      <alignment vertical="center"/>
      <protection/>
    </xf>
    <xf numFmtId="3" fontId="12" fillId="34" borderId="16" xfId="220" applyNumberFormat="1" applyFont="1" applyFill="1" applyBorder="1" applyAlignment="1">
      <alignment vertical="center"/>
      <protection/>
    </xf>
    <xf numFmtId="3" fontId="11" fillId="34" borderId="16" xfId="195" applyNumberFormat="1" applyFont="1" applyFill="1" applyBorder="1" applyAlignment="1">
      <alignment vertical="center"/>
      <protection/>
    </xf>
    <xf numFmtId="3" fontId="12" fillId="0" borderId="16" xfId="230" applyNumberFormat="1" applyFont="1" applyFill="1" applyBorder="1" applyAlignment="1">
      <alignment vertical="center"/>
      <protection/>
    </xf>
    <xf numFmtId="3" fontId="12" fillId="0" borderId="16" xfId="0" applyNumberFormat="1" applyFont="1" applyBorder="1" applyAlignment="1">
      <alignment vertical="center"/>
    </xf>
    <xf numFmtId="1" fontId="12" fillId="0" borderId="16" xfId="230" applyNumberFormat="1" applyFont="1" applyFill="1" applyBorder="1" applyAlignment="1" applyProtection="1">
      <alignment vertical="center" wrapText="1"/>
      <protection/>
    </xf>
    <xf numFmtId="49" fontId="12" fillId="34" borderId="16" xfId="195" applyNumberFormat="1" applyFont="1" applyFill="1" applyBorder="1" applyAlignment="1">
      <alignment horizontal="center" vertical="center" wrapText="1"/>
      <protection/>
    </xf>
    <xf numFmtId="0" fontId="12" fillId="34" borderId="16" xfId="195" applyFont="1" applyFill="1" applyBorder="1" applyAlignment="1">
      <alignment horizontal="left" vertical="center" wrapText="1"/>
      <protection/>
    </xf>
    <xf numFmtId="0" fontId="12" fillId="34" borderId="16" xfId="195" applyFont="1" applyFill="1" applyBorder="1" applyAlignment="1">
      <alignment horizontal="center" vertical="center" wrapText="1"/>
      <protection/>
    </xf>
    <xf numFmtId="49" fontId="51" fillId="34" borderId="16" xfId="195" applyNumberFormat="1" applyFont="1" applyFill="1" applyBorder="1" applyAlignment="1">
      <alignment horizontal="center" vertical="center" wrapText="1"/>
      <protection/>
    </xf>
    <xf numFmtId="0" fontId="51" fillId="34" borderId="16" xfId="195" applyFont="1" applyFill="1" applyBorder="1" applyAlignment="1">
      <alignment horizontal="left" vertical="center" wrapText="1"/>
      <protection/>
    </xf>
    <xf numFmtId="0" fontId="51" fillId="34" borderId="16" xfId="195" applyFont="1" applyFill="1" applyBorder="1" applyAlignment="1">
      <alignment horizontal="center" vertical="center" wrapText="1"/>
      <protection/>
    </xf>
    <xf numFmtId="1" fontId="51" fillId="0" borderId="16" xfId="195" applyNumberFormat="1" applyFont="1" applyBorder="1" applyAlignment="1">
      <alignment vertical="center" wrapText="1"/>
      <protection/>
    </xf>
    <xf numFmtId="1" fontId="51" fillId="0" borderId="16" xfId="195" applyNumberFormat="1" applyFont="1" applyFill="1" applyBorder="1" applyAlignment="1">
      <alignment vertical="center" wrapText="1"/>
      <protection/>
    </xf>
    <xf numFmtId="188" fontId="51" fillId="0" borderId="16" xfId="195" applyNumberFormat="1" applyFont="1" applyBorder="1" applyAlignment="1">
      <alignment vertical="center" wrapText="1"/>
      <protection/>
    </xf>
    <xf numFmtId="2" fontId="51" fillId="0" borderId="16" xfId="195" applyNumberFormat="1" applyFont="1" applyFill="1" applyBorder="1" applyAlignment="1">
      <alignment vertical="center" wrapText="1"/>
      <protection/>
    </xf>
    <xf numFmtId="1" fontId="12" fillId="34" borderId="16" xfId="195" applyNumberFormat="1" applyFont="1" applyFill="1" applyBorder="1" applyAlignment="1">
      <alignment vertical="center" wrapText="1"/>
      <protection/>
    </xf>
    <xf numFmtId="2" fontId="51" fillId="34" borderId="16" xfId="195" applyNumberFormat="1" applyFont="1" applyFill="1" applyBorder="1" applyAlignment="1">
      <alignment vertical="center" wrapText="1"/>
      <protection/>
    </xf>
    <xf numFmtId="3" fontId="51" fillId="0" borderId="16" xfId="195" applyNumberFormat="1" applyFont="1" applyBorder="1" applyAlignment="1">
      <alignment vertical="center" wrapText="1"/>
      <protection/>
    </xf>
    <xf numFmtId="0" fontId="11" fillId="0" borderId="23" xfId="195" applyFont="1" applyBorder="1" applyAlignment="1">
      <alignment horizontal="center" vertical="center" wrapText="1"/>
      <protection/>
    </xf>
    <xf numFmtId="0" fontId="11" fillId="0" borderId="16" xfId="195" applyFont="1" applyBorder="1" applyAlignment="1">
      <alignment horizontal="center" vertical="center" wrapText="1"/>
      <protection/>
    </xf>
    <xf numFmtId="49" fontId="51" fillId="0" borderId="16" xfId="195" applyNumberFormat="1" applyFont="1" applyBorder="1" applyAlignment="1">
      <alignment horizontal="center" vertical="center" wrapText="1"/>
      <protection/>
    </xf>
    <xf numFmtId="0" fontId="51" fillId="0" borderId="16" xfId="195" applyFont="1" applyBorder="1" applyAlignment="1">
      <alignment horizontal="left" vertical="center" wrapText="1"/>
      <protection/>
    </xf>
    <xf numFmtId="0" fontId="51" fillId="0" borderId="16" xfId="195" applyFont="1" applyBorder="1" applyAlignment="1">
      <alignment horizontal="center" vertical="center" wrapText="1"/>
      <protection/>
    </xf>
    <xf numFmtId="3" fontId="12" fillId="0" borderId="16" xfId="236" applyNumberFormat="1" applyFont="1" applyFill="1" applyBorder="1" applyAlignment="1" applyProtection="1">
      <alignment vertical="center" wrapText="1"/>
      <protection/>
    </xf>
    <xf numFmtId="3" fontId="12" fillId="0" borderId="16" xfId="236" applyNumberFormat="1" applyFont="1" applyFill="1" applyBorder="1" applyAlignment="1">
      <alignment vertical="center" wrapText="1"/>
      <protection/>
    </xf>
    <xf numFmtId="176" fontId="12" fillId="0" borderId="16" xfId="240" applyNumberFormat="1" applyFont="1" applyFill="1" applyBorder="1" applyAlignment="1" applyProtection="1">
      <alignment horizontal="right" vertical="center" wrapText="1"/>
      <protection/>
    </xf>
    <xf numFmtId="3" fontId="12" fillId="0" borderId="16" xfId="237" applyNumberFormat="1" applyFont="1" applyFill="1" applyBorder="1" applyAlignment="1" applyProtection="1">
      <alignment vertical="center" wrapText="1"/>
      <protection/>
    </xf>
    <xf numFmtId="4" fontId="12" fillId="0" borderId="16" xfId="241" applyNumberFormat="1" applyFont="1" applyFill="1" applyBorder="1" applyAlignment="1" applyProtection="1">
      <alignment vertical="center" wrapText="1"/>
      <protection/>
    </xf>
    <xf numFmtId="0" fontId="12" fillId="0" borderId="16" xfId="241" applyNumberFormat="1" applyFont="1" applyFill="1" applyBorder="1" applyAlignment="1" applyProtection="1">
      <alignment vertical="center" wrapText="1"/>
      <protection/>
    </xf>
    <xf numFmtId="2" fontId="51" fillId="0" borderId="16" xfId="195" applyNumberFormat="1" applyFont="1" applyBorder="1" applyAlignment="1">
      <alignment horizontal="left" vertical="center" wrapText="1"/>
      <protection/>
    </xf>
    <xf numFmtId="2" fontId="51" fillId="34" borderId="16" xfId="195" applyNumberFormat="1" applyFont="1" applyFill="1" applyBorder="1" applyAlignment="1">
      <alignment horizontal="left" vertical="center" wrapText="1"/>
      <protection/>
    </xf>
    <xf numFmtId="0" fontId="51" fillId="0" borderId="16" xfId="195" applyFont="1" applyBorder="1" applyAlignment="1">
      <alignment vertical="center" wrapText="1"/>
      <protection/>
    </xf>
    <xf numFmtId="1" fontId="51" fillId="0" borderId="27" xfId="195" applyNumberFormat="1" applyFont="1" applyBorder="1" applyAlignment="1">
      <alignment vertical="center" wrapText="1"/>
      <protection/>
    </xf>
    <xf numFmtId="49" fontId="51" fillId="0" borderId="27" xfId="195" applyNumberFormat="1" applyFont="1" applyBorder="1" applyAlignment="1">
      <alignment horizontal="center" vertical="center" wrapText="1"/>
      <protection/>
    </xf>
    <xf numFmtId="0" fontId="51" fillId="0" borderId="27" xfId="195" applyFont="1" applyBorder="1" applyAlignment="1">
      <alignment horizontal="left" vertical="center" wrapText="1"/>
      <protection/>
    </xf>
    <xf numFmtId="0" fontId="51" fillId="0" borderId="27" xfId="195" applyFont="1" applyBorder="1" applyAlignment="1">
      <alignment horizontal="center" vertical="center" wrapText="1"/>
      <protection/>
    </xf>
    <xf numFmtId="49" fontId="51" fillId="0" borderId="20" xfId="195" applyNumberFormat="1" applyFont="1" applyBorder="1" applyAlignment="1">
      <alignment horizontal="center" vertical="center" wrapText="1"/>
      <protection/>
    </xf>
    <xf numFmtId="0" fontId="51" fillId="0" borderId="20" xfId="195" applyFont="1" applyBorder="1" applyAlignment="1">
      <alignment horizontal="left" vertical="center" wrapText="1"/>
      <protection/>
    </xf>
    <xf numFmtId="0" fontId="51" fillId="0" borderId="20" xfId="195" applyFont="1" applyBorder="1" applyAlignment="1">
      <alignment horizontal="center" vertical="center" wrapText="1"/>
      <protection/>
    </xf>
    <xf numFmtId="1" fontId="51" fillId="0" borderId="20" xfId="195" applyNumberFormat="1" applyFont="1" applyBorder="1" applyAlignment="1">
      <alignment vertical="center" wrapText="1"/>
      <protection/>
    </xf>
    <xf numFmtId="49" fontId="63" fillId="0" borderId="0" xfId="195" applyNumberFormat="1" applyFont="1">
      <alignment/>
      <protection/>
    </xf>
    <xf numFmtId="0" fontId="63" fillId="0" borderId="0" xfId="195" applyFont="1">
      <alignment/>
      <protection/>
    </xf>
    <xf numFmtId="0" fontId="63" fillId="0" borderId="0" xfId="195" applyFont="1" applyFill="1">
      <alignment/>
      <protection/>
    </xf>
    <xf numFmtId="3" fontId="12" fillId="0" borderId="16" xfId="231" applyNumberFormat="1" applyFont="1" applyFill="1" applyBorder="1" applyAlignment="1" applyProtection="1">
      <alignment vertical="center" wrapText="1"/>
      <protection/>
    </xf>
    <xf numFmtId="176" fontId="12" fillId="0" borderId="16" xfId="231" applyNumberFormat="1" applyFont="1" applyFill="1" applyBorder="1" applyAlignment="1" applyProtection="1">
      <alignment vertical="center" wrapText="1"/>
      <protection/>
    </xf>
    <xf numFmtId="176" fontId="12" fillId="34" borderId="16" xfId="231" applyNumberFormat="1" applyFont="1" applyFill="1" applyBorder="1" applyAlignment="1" applyProtection="1">
      <alignment vertical="center" wrapText="1"/>
      <protection/>
    </xf>
    <xf numFmtId="3" fontId="12" fillId="0" borderId="16" xfId="235" applyNumberFormat="1" applyFont="1" applyFill="1" applyBorder="1" applyAlignment="1" applyProtection="1">
      <alignment vertical="center" wrapText="1"/>
      <protection/>
    </xf>
    <xf numFmtId="176" fontId="12" fillId="0" borderId="16" xfId="239" applyNumberFormat="1" applyFont="1" applyFill="1" applyBorder="1" applyAlignment="1" applyProtection="1">
      <alignment vertical="center" wrapText="1"/>
      <protection/>
    </xf>
    <xf numFmtId="176" fontId="12" fillId="34" borderId="16" xfId="239" applyNumberFormat="1" applyFont="1" applyFill="1" applyBorder="1" applyAlignment="1" applyProtection="1">
      <alignment vertical="center" wrapText="1"/>
      <protection/>
    </xf>
    <xf numFmtId="176" fontId="12" fillId="0" borderId="16" xfId="240" applyNumberFormat="1" applyFont="1" applyFill="1" applyBorder="1" applyAlignment="1" applyProtection="1">
      <alignment vertical="center" wrapText="1"/>
      <protection/>
    </xf>
    <xf numFmtId="0" fontId="12" fillId="0" borderId="16" xfId="275" applyFont="1" applyFill="1" applyBorder="1" applyAlignment="1" applyProtection="1">
      <alignment vertical="center"/>
      <protection/>
    </xf>
    <xf numFmtId="1" fontId="12" fillId="0" borderId="16" xfId="275" applyNumberFormat="1" applyFont="1" applyFill="1" applyBorder="1" applyAlignment="1" applyProtection="1">
      <alignment vertical="center" wrapText="1"/>
      <protection/>
    </xf>
    <xf numFmtId="1" fontId="12" fillId="34" borderId="16" xfId="217" applyNumberFormat="1" applyFont="1" applyFill="1" applyBorder="1" applyAlignment="1" applyProtection="1">
      <alignment vertical="center" wrapText="1"/>
      <protection/>
    </xf>
    <xf numFmtId="188" fontId="12" fillId="34" borderId="16" xfId="279" applyNumberFormat="1" applyFont="1" applyFill="1" applyBorder="1" applyAlignment="1" applyProtection="1">
      <alignment vertical="center"/>
      <protection/>
    </xf>
    <xf numFmtId="1" fontId="12" fillId="34" borderId="16" xfId="279" applyNumberFormat="1" applyFont="1" applyFill="1" applyBorder="1" applyAlignment="1" applyProtection="1">
      <alignment vertical="center"/>
      <protection/>
    </xf>
    <xf numFmtId="3" fontId="12" fillId="0" borderId="16" xfId="238" applyNumberFormat="1" applyFont="1" applyFill="1" applyBorder="1" applyAlignment="1" applyProtection="1">
      <alignment vertical="center" wrapText="1"/>
      <protection/>
    </xf>
    <xf numFmtId="0" fontId="63" fillId="0" borderId="0" xfId="195" applyFont="1" applyAlignment="1">
      <alignment/>
      <protection/>
    </xf>
    <xf numFmtId="0" fontId="63" fillId="0" borderId="0" xfId="195" applyFont="1" applyFill="1" applyAlignment="1">
      <alignment/>
      <protection/>
    </xf>
    <xf numFmtId="176" fontId="63" fillId="0" borderId="0" xfId="195" applyNumberFormat="1" applyFont="1" applyFill="1" applyAlignment="1">
      <alignment/>
      <protection/>
    </xf>
    <xf numFmtId="3" fontId="12" fillId="34" borderId="16" xfId="233" applyNumberFormat="1" applyFont="1" applyFill="1" applyBorder="1" applyAlignment="1">
      <alignment vertical="center"/>
      <protection/>
    </xf>
    <xf numFmtId="3" fontId="12" fillId="0" borderId="16" xfId="218" applyNumberFormat="1" applyFont="1" applyFill="1" applyBorder="1" applyAlignment="1">
      <alignment vertical="center"/>
      <protection/>
    </xf>
    <xf numFmtId="0" fontId="12" fillId="0" borderId="16" xfId="218" applyFont="1" applyFill="1" applyBorder="1" applyAlignment="1">
      <alignment vertical="center"/>
      <protection/>
    </xf>
    <xf numFmtId="176" fontId="12" fillId="0" borderId="16" xfId="218" applyNumberFormat="1" applyFont="1" applyFill="1" applyBorder="1" applyAlignment="1">
      <alignment vertical="center"/>
      <protection/>
    </xf>
    <xf numFmtId="3" fontId="12" fillId="34" borderId="16" xfId="195" applyNumberFormat="1" applyFont="1" applyFill="1" applyBorder="1" applyAlignment="1">
      <alignment vertical="center" wrapText="1"/>
      <protection/>
    </xf>
    <xf numFmtId="176" fontId="12" fillId="34" borderId="16" xfId="221" applyNumberFormat="1" applyFont="1" applyFill="1" applyBorder="1" applyAlignment="1">
      <alignment vertical="center"/>
      <protection/>
    </xf>
    <xf numFmtId="3" fontId="12" fillId="34" borderId="16" xfId="221" applyNumberFormat="1" applyFont="1" applyFill="1" applyBorder="1" applyAlignment="1">
      <alignment vertical="center"/>
      <protection/>
    </xf>
    <xf numFmtId="3" fontId="11" fillId="34" borderId="16" xfId="195" applyNumberFormat="1" applyFont="1" applyFill="1" applyBorder="1" applyAlignment="1">
      <alignment vertical="center" wrapText="1"/>
      <protection/>
    </xf>
    <xf numFmtId="3" fontId="12" fillId="0" borderId="16" xfId="222" applyNumberFormat="1" applyFont="1" applyFill="1" applyBorder="1" applyAlignment="1">
      <alignment vertical="center"/>
      <protection/>
    </xf>
    <xf numFmtId="3" fontId="12" fillId="34" borderId="16" xfId="222" applyNumberFormat="1" applyFont="1" applyFill="1" applyBorder="1" applyAlignment="1">
      <alignment vertical="center"/>
      <protection/>
    </xf>
    <xf numFmtId="0" fontId="12" fillId="0" borderId="16" xfId="222" applyFont="1" applyFill="1" applyBorder="1" applyAlignment="1">
      <alignment vertical="center"/>
      <protection/>
    </xf>
    <xf numFmtId="176" fontId="12" fillId="0" borderId="16" xfId="222" applyNumberFormat="1" applyFont="1" applyFill="1" applyBorder="1" applyAlignment="1">
      <alignment vertical="center"/>
      <protection/>
    </xf>
    <xf numFmtId="0" fontId="12" fillId="0" borderId="16" xfId="223" applyFont="1" applyFill="1" applyBorder="1" applyAlignment="1">
      <alignment vertical="center"/>
      <protection/>
    </xf>
    <xf numFmtId="3" fontId="12" fillId="0" borderId="16" xfId="223" applyNumberFormat="1" applyFont="1" applyFill="1" applyBorder="1" applyAlignment="1">
      <alignment vertical="center"/>
      <protection/>
    </xf>
    <xf numFmtId="4" fontId="12" fillId="0" borderId="16" xfId="223" applyNumberFormat="1" applyFont="1" applyFill="1" applyBorder="1" applyAlignment="1">
      <alignment vertical="center"/>
      <protection/>
    </xf>
    <xf numFmtId="0" fontId="12" fillId="0" borderId="16" xfId="224" applyFont="1" applyFill="1" applyBorder="1" applyAlignment="1">
      <alignment vertical="center"/>
      <protection/>
    </xf>
    <xf numFmtId="3" fontId="12" fillId="0" borderId="16" xfId="224" applyNumberFormat="1" applyFont="1" applyFill="1" applyBorder="1" applyAlignment="1">
      <alignment vertical="center"/>
      <protection/>
    </xf>
    <xf numFmtId="176" fontId="12" fillId="0" borderId="16" xfId="224" applyNumberFormat="1" applyFont="1" applyFill="1" applyBorder="1" applyAlignment="1">
      <alignment vertical="center"/>
      <protection/>
    </xf>
    <xf numFmtId="0" fontId="12" fillId="0" borderId="16" xfId="225" applyFont="1" applyFill="1" applyBorder="1" applyAlignment="1">
      <alignment vertical="center"/>
      <protection/>
    </xf>
    <xf numFmtId="0" fontId="12" fillId="0" borderId="16" xfId="226" applyFont="1" applyFill="1" applyBorder="1" applyAlignment="1">
      <alignment vertical="center"/>
      <protection/>
    </xf>
    <xf numFmtId="0" fontId="12" fillId="34" borderId="16" xfId="228" applyFont="1" applyFill="1" applyBorder="1" applyAlignment="1">
      <alignment vertical="center"/>
      <protection/>
    </xf>
    <xf numFmtId="1" fontId="12" fillId="34" borderId="16" xfId="228" applyNumberFormat="1" applyFont="1" applyFill="1" applyBorder="1" applyAlignment="1">
      <alignment vertical="center"/>
      <protection/>
    </xf>
    <xf numFmtId="0" fontId="12" fillId="34" borderId="16" xfId="243" applyFont="1" applyFill="1" applyBorder="1" applyAlignment="1">
      <alignment vertical="center"/>
      <protection/>
    </xf>
    <xf numFmtId="0" fontId="12" fillId="0" borderId="16" xfId="244" applyFont="1" applyFill="1" applyBorder="1" applyAlignment="1">
      <alignment vertical="center"/>
      <protection/>
    </xf>
    <xf numFmtId="0" fontId="12" fillId="0" borderId="16" xfId="245" applyFont="1" applyFill="1" applyBorder="1" applyAlignment="1">
      <alignment vertical="center"/>
      <protection/>
    </xf>
    <xf numFmtId="3" fontId="12" fillId="0" borderId="16" xfId="245" applyNumberFormat="1" applyFont="1" applyFill="1" applyBorder="1" applyAlignment="1">
      <alignment vertical="center"/>
      <protection/>
    </xf>
    <xf numFmtId="188" fontId="51" fillId="0" borderId="16" xfId="246" applyNumberFormat="1" applyFont="1" applyFill="1" applyBorder="1" applyAlignment="1">
      <alignment vertical="center"/>
      <protection/>
    </xf>
    <xf numFmtId="0" fontId="51" fillId="0" borderId="16" xfId="246" applyFont="1" applyFill="1" applyBorder="1" applyAlignment="1">
      <alignment vertical="center"/>
      <protection/>
    </xf>
    <xf numFmtId="2" fontId="12" fillId="34" borderId="16" xfId="195" applyNumberFormat="1" applyFont="1" applyFill="1" applyBorder="1" applyAlignment="1">
      <alignment horizontal="left" vertical="center" wrapText="1"/>
      <protection/>
    </xf>
    <xf numFmtId="0" fontId="12" fillId="34" borderId="16" xfId="249" applyFont="1" applyFill="1" applyBorder="1" applyAlignment="1">
      <alignment vertical="center"/>
      <protection/>
    </xf>
    <xf numFmtId="3" fontId="12" fillId="34" borderId="16" xfId="249" applyNumberFormat="1" applyFont="1" applyFill="1" applyBorder="1" applyAlignment="1">
      <alignment vertical="center"/>
      <protection/>
    </xf>
    <xf numFmtId="3" fontId="12" fillId="34" borderId="16" xfId="242" applyNumberFormat="1" applyFont="1" applyFill="1" applyBorder="1" applyAlignment="1" applyProtection="1">
      <alignment vertical="center" wrapText="1"/>
      <protection/>
    </xf>
    <xf numFmtId="1" fontId="51" fillId="34" borderId="16" xfId="250" applyNumberFormat="1" applyFont="1" applyFill="1" applyBorder="1" applyAlignment="1">
      <alignment vertical="center"/>
      <protection/>
    </xf>
    <xf numFmtId="188" fontId="51" fillId="34" borderId="16" xfId="250" applyNumberFormat="1" applyFont="1" applyFill="1" applyBorder="1" applyAlignment="1">
      <alignment vertical="center"/>
      <protection/>
    </xf>
    <xf numFmtId="0" fontId="12" fillId="0" borderId="16" xfId="251" applyFont="1" applyFill="1" applyBorder="1" applyAlignment="1">
      <alignment vertical="center"/>
      <protection/>
    </xf>
    <xf numFmtId="0" fontId="12" fillId="0" borderId="16" xfId="252" applyFont="1" applyFill="1" applyBorder="1" applyAlignment="1">
      <alignment vertical="center"/>
      <protection/>
    </xf>
    <xf numFmtId="0" fontId="12" fillId="34" borderId="16" xfId="252" applyFont="1" applyFill="1" applyBorder="1" applyAlignment="1">
      <alignment vertical="center"/>
      <protection/>
    </xf>
    <xf numFmtId="0" fontId="12" fillId="0" borderId="16" xfId="255" applyFont="1" applyFill="1" applyBorder="1" applyAlignment="1">
      <alignment vertical="center"/>
      <protection/>
    </xf>
    <xf numFmtId="0" fontId="12" fillId="34" borderId="16" xfId="256" applyFont="1" applyFill="1" applyBorder="1" applyAlignment="1">
      <alignment vertical="center"/>
      <protection/>
    </xf>
    <xf numFmtId="0" fontId="12" fillId="0" borderId="16" xfId="256" applyFont="1" applyFill="1" applyBorder="1" applyAlignment="1">
      <alignment vertical="center"/>
      <protection/>
    </xf>
    <xf numFmtId="3" fontId="12" fillId="0" borderId="16" xfId="257" applyNumberFormat="1" applyFont="1" applyFill="1" applyBorder="1" applyAlignment="1">
      <alignment vertical="center"/>
      <protection/>
    </xf>
    <xf numFmtId="3" fontId="12" fillId="0" borderId="16" xfId="258" applyNumberFormat="1" applyFont="1" applyFill="1" applyBorder="1" applyAlignment="1">
      <alignment vertical="center"/>
      <protection/>
    </xf>
    <xf numFmtId="0" fontId="12" fillId="0" borderId="16" xfId="259" applyFont="1" applyFill="1" applyBorder="1" applyAlignment="1">
      <alignment vertical="center"/>
      <protection/>
    </xf>
    <xf numFmtId="0" fontId="12" fillId="0" borderId="16" xfId="260" applyFont="1" applyFill="1" applyBorder="1" applyAlignment="1">
      <alignment vertical="center"/>
      <protection/>
    </xf>
    <xf numFmtId="3" fontId="12" fillId="0" borderId="16" xfId="261" applyNumberFormat="1" applyFont="1" applyFill="1" applyBorder="1" applyAlignment="1">
      <alignment vertical="center"/>
      <protection/>
    </xf>
    <xf numFmtId="0" fontId="12" fillId="0" borderId="16" xfId="261" applyFont="1" applyFill="1" applyBorder="1" applyAlignment="1">
      <alignment vertical="center"/>
      <protection/>
    </xf>
    <xf numFmtId="176" fontId="12" fillId="0" borderId="16" xfId="261" applyNumberFormat="1" applyFont="1" applyFill="1" applyBorder="1" applyAlignment="1">
      <alignment vertical="center"/>
      <protection/>
    </xf>
    <xf numFmtId="0" fontId="12" fillId="0" borderId="16" xfId="262" applyFont="1" applyFill="1" applyBorder="1" applyAlignment="1">
      <alignment vertical="center"/>
      <protection/>
    </xf>
    <xf numFmtId="0" fontId="12" fillId="0" borderId="16" xfId="263" applyFont="1" applyFill="1" applyBorder="1" applyAlignment="1">
      <alignment vertical="center"/>
      <protection/>
    </xf>
    <xf numFmtId="0" fontId="12" fillId="0" borderId="16" xfId="264" applyFont="1" applyFill="1" applyBorder="1" applyAlignment="1">
      <alignment vertical="center"/>
      <protection/>
    </xf>
    <xf numFmtId="0" fontId="12" fillId="0" borderId="16" xfId="270" applyFont="1" applyFill="1" applyBorder="1" applyAlignment="1">
      <alignment vertical="center"/>
      <protection/>
    </xf>
    <xf numFmtId="0" fontId="51" fillId="0" borderId="16" xfId="195" applyFont="1" applyFill="1" applyBorder="1" applyAlignment="1">
      <alignment vertical="center" wrapText="1"/>
      <protection/>
    </xf>
    <xf numFmtId="3" fontId="12" fillId="0" borderId="16" xfId="271" applyNumberFormat="1" applyFont="1" applyFill="1" applyBorder="1" applyAlignment="1">
      <alignment vertical="center"/>
      <protection/>
    </xf>
    <xf numFmtId="0" fontId="12" fillId="0" borderId="16" xfId="271" applyFont="1" applyFill="1" applyBorder="1" applyAlignment="1">
      <alignment vertical="center"/>
      <protection/>
    </xf>
    <xf numFmtId="3" fontId="12" fillId="0" borderId="16" xfId="272" applyNumberFormat="1" applyFont="1" applyFill="1" applyBorder="1" applyAlignment="1">
      <alignment vertical="center"/>
      <protection/>
    </xf>
    <xf numFmtId="0" fontId="12" fillId="34" borderId="16" xfId="273" applyFont="1" applyFill="1" applyBorder="1" applyAlignment="1">
      <alignment vertical="center"/>
      <protection/>
    </xf>
    <xf numFmtId="0" fontId="12" fillId="0" borderId="16" xfId="274" applyFont="1" applyFill="1" applyBorder="1" applyAlignment="1">
      <alignment vertical="center"/>
      <protection/>
    </xf>
    <xf numFmtId="176" fontId="11" fillId="34" borderId="16" xfId="195" applyNumberFormat="1" applyFont="1" applyFill="1" applyBorder="1" applyAlignment="1">
      <alignment vertical="center"/>
      <protection/>
    </xf>
    <xf numFmtId="176" fontId="11" fillId="0" borderId="16" xfId="195" applyNumberFormat="1" applyFont="1" applyBorder="1" applyAlignment="1">
      <alignment vertical="center"/>
      <protection/>
    </xf>
    <xf numFmtId="0" fontId="12" fillId="0" borderId="16" xfId="275" applyFont="1" applyFill="1" applyBorder="1" applyAlignment="1" applyProtection="1">
      <alignment horizontal="right" vertical="center"/>
      <protection/>
    </xf>
    <xf numFmtId="0" fontId="53" fillId="0" borderId="10" xfId="291" applyFont="1" applyBorder="1" applyAlignment="1">
      <alignment horizontal="center" vertical="center" wrapText="1"/>
      <protection/>
    </xf>
    <xf numFmtId="182" fontId="56" fillId="34" borderId="0" xfId="95" applyNumberFormat="1" applyFont="1" applyFill="1" applyBorder="1" applyAlignment="1">
      <alignment horizontal="center" vertical="top" wrapText="1"/>
    </xf>
    <xf numFmtId="0" fontId="11" fillId="34" borderId="25" xfId="16" applyFont="1" applyFill="1" applyBorder="1" applyAlignment="1">
      <alignment horizontal="left" vertical="top" wrapText="1"/>
      <protection/>
    </xf>
    <xf numFmtId="179" fontId="11" fillId="34" borderId="10" xfId="95" applyNumberFormat="1" applyFont="1" applyFill="1" applyBorder="1" applyAlignment="1">
      <alignment horizontal="center" vertical="center"/>
    </xf>
    <xf numFmtId="0" fontId="11" fillId="34" borderId="10" xfId="16" applyFont="1" applyFill="1" applyBorder="1" applyAlignment="1">
      <alignment wrapText="1"/>
      <protection/>
    </xf>
    <xf numFmtId="0" fontId="11" fillId="34" borderId="10" xfId="16" applyFont="1" applyFill="1" applyBorder="1" applyAlignment="1">
      <alignment horizontal="right" wrapText="1"/>
      <protection/>
    </xf>
    <xf numFmtId="179" fontId="11" fillId="34" borderId="10" xfId="95" applyNumberFormat="1" applyFont="1" applyFill="1" applyBorder="1" applyAlignment="1">
      <alignment vertical="center"/>
    </xf>
    <xf numFmtId="4" fontId="11" fillId="34" borderId="10" xfId="0" applyNumberFormat="1" applyFont="1" applyFill="1" applyBorder="1" applyAlignment="1">
      <alignment vertical="center"/>
    </xf>
    <xf numFmtId="171" fontId="12" fillId="34" borderId="10" xfId="0" applyNumberFormat="1" applyFont="1" applyFill="1" applyBorder="1" applyAlignment="1">
      <alignment vertical="center"/>
    </xf>
    <xf numFmtId="4" fontId="12" fillId="34" borderId="10" xfId="137" applyNumberFormat="1" applyFont="1" applyFill="1" applyBorder="1" applyAlignment="1">
      <alignment horizontal="right" vertical="center" wrapText="1"/>
    </xf>
    <xf numFmtId="43" fontId="12" fillId="34" borderId="10" xfId="93" applyFont="1" applyFill="1" applyBorder="1" applyAlignment="1">
      <alignment horizontal="right" vertical="center" wrapText="1"/>
    </xf>
    <xf numFmtId="4" fontId="12" fillId="34" borderId="10" xfId="137" applyNumberFormat="1" applyFont="1" applyFill="1" applyBorder="1" applyAlignment="1">
      <alignment horizontal="right" vertical="center"/>
    </xf>
    <xf numFmtId="179" fontId="12" fillId="34" borderId="10" xfId="95" applyNumberFormat="1" applyFont="1" applyFill="1" applyBorder="1" applyAlignment="1">
      <alignment vertical="center"/>
    </xf>
    <xf numFmtId="43" fontId="12" fillId="34" borderId="10" xfId="93" applyFont="1" applyFill="1" applyBorder="1" applyAlignment="1">
      <alignment horizontal="right" wrapText="1"/>
    </xf>
    <xf numFmtId="0" fontId="11" fillId="34" borderId="10" xfId="16" applyFont="1" applyFill="1" applyBorder="1" applyAlignment="1">
      <alignment horizontal="center"/>
      <protection/>
    </xf>
    <xf numFmtId="179" fontId="11" fillId="34" borderId="10" xfId="95" applyNumberFormat="1" applyFont="1" applyFill="1" applyBorder="1" applyAlignment="1">
      <alignment vertical="center" wrapText="1"/>
    </xf>
    <xf numFmtId="0" fontId="11" fillId="34" borderId="10" xfId="16" applyFont="1" applyFill="1" applyBorder="1" applyAlignment="1">
      <alignment horizontal="center" vertical="center"/>
      <protection/>
    </xf>
    <xf numFmtId="43" fontId="11" fillId="34" borderId="10" xfId="93" applyFont="1" applyFill="1" applyBorder="1" applyAlignment="1">
      <alignment horizontal="right" vertical="center" wrapText="1"/>
    </xf>
    <xf numFmtId="171" fontId="12" fillId="34" borderId="10" xfId="95" applyFont="1" applyFill="1" applyBorder="1" applyAlignment="1">
      <alignment vertical="center"/>
    </xf>
    <xf numFmtId="0" fontId="12" fillId="34" borderId="10" xfId="16" applyFont="1" applyFill="1" applyBorder="1" applyAlignment="1">
      <alignment horizontal="center"/>
      <protection/>
    </xf>
    <xf numFmtId="179" fontId="12" fillId="34" borderId="10" xfId="95" applyNumberFormat="1" applyFont="1" applyFill="1" applyBorder="1" applyAlignment="1">
      <alignment horizontal="left" vertical="center" wrapText="1"/>
    </xf>
    <xf numFmtId="179" fontId="12" fillId="34" borderId="10" xfId="95" applyNumberFormat="1" applyFont="1" applyFill="1" applyBorder="1" applyAlignment="1">
      <alignment horizontal="center" vertical="center"/>
    </xf>
    <xf numFmtId="192" fontId="12" fillId="34" borderId="10" xfId="302" applyNumberFormat="1" applyFont="1" applyFill="1" applyBorder="1" applyAlignment="1">
      <alignment horizontal="right" vertical="center"/>
    </xf>
    <xf numFmtId="9" fontId="12" fillId="34" borderId="10" xfId="302" applyFont="1" applyFill="1" applyBorder="1" applyAlignment="1">
      <alignment horizontal="right" vertical="center"/>
    </xf>
    <xf numFmtId="179" fontId="12" fillId="34" borderId="10" xfId="95" applyNumberFormat="1" applyFont="1" applyFill="1" applyBorder="1" applyAlignment="1">
      <alignment horizontal="right" vertical="center"/>
    </xf>
    <xf numFmtId="171" fontId="11" fillId="34" borderId="10" xfId="95" applyFont="1" applyFill="1" applyBorder="1" applyAlignment="1">
      <alignment vertical="center"/>
    </xf>
    <xf numFmtId="43" fontId="11" fillId="34" borderId="10" xfId="93" applyFont="1" applyFill="1" applyBorder="1" applyAlignment="1">
      <alignment vertical="center"/>
    </xf>
    <xf numFmtId="179" fontId="12" fillId="34" borderId="10" xfId="95" applyNumberFormat="1" applyFont="1" applyFill="1" applyBorder="1" applyAlignment="1">
      <alignment vertical="center" wrapText="1"/>
    </xf>
    <xf numFmtId="179" fontId="12" fillId="34" borderId="10" xfId="95" applyNumberFormat="1" applyFont="1" applyFill="1" applyBorder="1" applyAlignment="1">
      <alignment horizontal="justify" vertical="center"/>
    </xf>
    <xf numFmtId="179" fontId="12" fillId="34" borderId="10" xfId="95" applyNumberFormat="1" applyFont="1" applyFill="1" applyBorder="1" applyAlignment="1">
      <alignment horizontal="center" vertical="center" wrapText="1"/>
    </xf>
    <xf numFmtId="3" fontId="12" fillId="34" borderId="10" xfId="0" applyNumberFormat="1" applyFont="1" applyFill="1" applyBorder="1" applyAlignment="1">
      <alignment horizontal="right" vertical="center" wrapText="1"/>
    </xf>
    <xf numFmtId="179" fontId="12" fillId="34" borderId="10" xfId="136" applyNumberFormat="1" applyFont="1" applyFill="1" applyBorder="1" applyAlignment="1">
      <alignment horizontal="center" vertical="center" wrapText="1"/>
    </xf>
    <xf numFmtId="179" fontId="12" fillId="34" borderId="10" xfId="95" applyNumberFormat="1" applyFont="1" applyFill="1" applyBorder="1" applyAlignment="1" quotePrefix="1">
      <alignment vertical="center" wrapText="1"/>
    </xf>
    <xf numFmtId="179" fontId="51" fillId="34" borderId="10" xfId="95" applyNumberFormat="1" applyFont="1" applyFill="1" applyBorder="1" applyAlignment="1">
      <alignment vertical="center" wrapText="1"/>
    </xf>
    <xf numFmtId="179" fontId="12" fillId="34" borderId="10" xfId="95" applyNumberFormat="1" applyFont="1" applyFill="1" applyBorder="1" applyAlignment="1" quotePrefix="1">
      <alignment horizontal="left" vertical="center" wrapText="1"/>
    </xf>
    <xf numFmtId="179" fontId="11" fillId="34" borderId="10" xfId="95" applyNumberFormat="1" applyFont="1" applyFill="1" applyBorder="1" applyAlignment="1">
      <alignment horizontal="left" vertical="center" wrapText="1"/>
    </xf>
    <xf numFmtId="179" fontId="11" fillId="34" borderId="10" xfId="95" applyNumberFormat="1" applyFont="1" applyFill="1" applyBorder="1" applyAlignment="1">
      <alignment horizontal="center" vertical="center" wrapText="1"/>
    </xf>
    <xf numFmtId="192" fontId="11" fillId="34" borderId="10" xfId="302" applyNumberFormat="1" applyFont="1" applyFill="1" applyBorder="1" applyAlignment="1">
      <alignment vertical="center"/>
    </xf>
    <xf numFmtId="179" fontId="51" fillId="34" borderId="10" xfId="95" applyNumberFormat="1" applyFont="1" applyFill="1" applyBorder="1" applyAlignment="1">
      <alignment horizontal="center" vertical="center" wrapText="1"/>
    </xf>
    <xf numFmtId="179" fontId="12" fillId="34" borderId="10" xfId="96" applyNumberFormat="1" applyFont="1" applyFill="1" applyBorder="1" applyAlignment="1">
      <alignment horizontal="center" vertical="center"/>
    </xf>
    <xf numFmtId="182" fontId="12" fillId="34" borderId="10" xfId="96" applyNumberFormat="1" applyFont="1" applyFill="1" applyBorder="1" applyAlignment="1">
      <alignment horizontal="center" vertical="center"/>
    </xf>
    <xf numFmtId="179" fontId="12" fillId="34" borderId="10" xfId="96" applyNumberFormat="1" applyFont="1" applyFill="1" applyBorder="1" applyAlignment="1">
      <alignment horizontal="right" vertical="center"/>
    </xf>
    <xf numFmtId="0" fontId="12" fillId="34" borderId="10" xfId="16" applyFont="1" applyFill="1" applyBorder="1" applyAlignment="1">
      <alignment horizontal="center" vertical="center"/>
      <protection/>
    </xf>
    <xf numFmtId="43" fontId="12" fillId="34" borderId="16" xfId="93" applyFont="1" applyFill="1" applyBorder="1" applyAlignment="1">
      <alignment horizontal="right" vertical="center" wrapText="1"/>
    </xf>
    <xf numFmtId="191" fontId="12" fillId="34" borderId="16" xfId="93" applyNumberFormat="1" applyFont="1" applyFill="1" applyBorder="1" applyAlignment="1">
      <alignment horizontal="center" vertical="center" wrapText="1"/>
    </xf>
    <xf numFmtId="3" fontId="0" fillId="0" borderId="10" xfId="206" applyNumberFormat="1" applyFont="1" applyFill="1" applyBorder="1" applyAlignment="1">
      <alignment horizontal="right" vertical="center"/>
      <protection/>
    </xf>
    <xf numFmtId="0" fontId="69" fillId="34" borderId="0" xfId="247" applyFont="1" applyFill="1" applyAlignment="1">
      <alignment vertical="center"/>
      <protection/>
    </xf>
    <xf numFmtId="0" fontId="4" fillId="34" borderId="0" xfId="247" applyFont="1" applyFill="1" applyAlignment="1">
      <alignment horizontal="center" vertical="center"/>
      <protection/>
    </xf>
    <xf numFmtId="182" fontId="57" fillId="34" borderId="10" xfId="138" applyNumberFormat="1" applyFont="1" applyFill="1" applyBorder="1" applyAlignment="1">
      <alignment horizontal="center" vertical="center" wrapText="1"/>
    </xf>
    <xf numFmtId="0" fontId="54" fillId="34" borderId="10" xfId="247" applyFont="1" applyFill="1" applyBorder="1" applyAlignment="1">
      <alignment horizontal="center" vertical="center" wrapText="1"/>
      <protection/>
    </xf>
    <xf numFmtId="43" fontId="54" fillId="34" borderId="10" xfId="93" applyFont="1" applyFill="1" applyBorder="1" applyAlignment="1">
      <alignment horizontal="center" vertical="center" wrapText="1"/>
    </xf>
    <xf numFmtId="182" fontId="54" fillId="34" borderId="10" xfId="139" applyNumberFormat="1" applyFont="1" applyFill="1" applyBorder="1" applyAlignment="1">
      <alignment horizontal="right" vertical="center" wrapText="1"/>
    </xf>
    <xf numFmtId="43" fontId="54" fillId="34" borderId="10" xfId="93" applyFont="1" applyFill="1" applyBorder="1" applyAlignment="1">
      <alignment horizontal="right" vertical="center" wrapText="1"/>
    </xf>
    <xf numFmtId="43" fontId="54" fillId="34" borderId="10" xfId="93" applyFont="1" applyFill="1" applyBorder="1" applyAlignment="1">
      <alignment horizontal="right" wrapText="1"/>
    </xf>
    <xf numFmtId="43" fontId="54" fillId="34" borderId="10" xfId="93" applyFont="1" applyFill="1" applyBorder="1" applyAlignment="1">
      <alignment horizontal="right" vertical="top" wrapText="1"/>
    </xf>
    <xf numFmtId="43" fontId="54" fillId="34" borderId="10" xfId="93" applyFont="1" applyFill="1" applyBorder="1" applyAlignment="1">
      <alignment vertical="center" wrapText="1"/>
    </xf>
    <xf numFmtId="43" fontId="70" fillId="34" borderId="10" xfId="93" applyFont="1" applyFill="1" applyBorder="1" applyAlignment="1">
      <alignment horizontal="right" vertical="center" wrapText="1"/>
    </xf>
    <xf numFmtId="0" fontId="57" fillId="34" borderId="10" xfId="247" applyFont="1" applyFill="1" applyBorder="1" applyAlignment="1">
      <alignment horizontal="center" vertical="center" wrapText="1"/>
      <protection/>
    </xf>
    <xf numFmtId="191" fontId="54" fillId="34" borderId="10" xfId="93" applyNumberFormat="1" applyFont="1" applyFill="1" applyBorder="1" applyAlignment="1">
      <alignment horizontal="right" vertical="center" wrapText="1"/>
    </xf>
    <xf numFmtId="191" fontId="54" fillId="34" borderId="10" xfId="93" applyNumberFormat="1" applyFont="1" applyFill="1" applyBorder="1" applyAlignment="1">
      <alignment horizontal="right" vertical="top" wrapText="1"/>
    </xf>
    <xf numFmtId="191" fontId="54" fillId="34" borderId="10" xfId="93" applyNumberFormat="1" applyFont="1" applyFill="1" applyBorder="1" applyAlignment="1">
      <alignment vertical="center" wrapText="1"/>
    </xf>
    <xf numFmtId="191" fontId="54" fillId="34" borderId="10" xfId="93" applyNumberFormat="1" applyFont="1" applyFill="1" applyBorder="1" applyAlignment="1">
      <alignment horizontal="right" wrapText="1"/>
    </xf>
    <xf numFmtId="191" fontId="70" fillId="34" borderId="10" xfId="93" applyNumberFormat="1" applyFont="1" applyFill="1" applyBorder="1" applyAlignment="1">
      <alignment horizontal="right" vertical="center" wrapText="1"/>
    </xf>
    <xf numFmtId="0" fontId="57" fillId="34" borderId="10" xfId="247" applyFont="1" applyFill="1" applyBorder="1" applyAlignment="1">
      <alignment wrapText="1"/>
      <protection/>
    </xf>
    <xf numFmtId="182" fontId="54" fillId="34" borderId="10" xfId="138" applyNumberFormat="1" applyFont="1" applyFill="1" applyBorder="1" applyAlignment="1">
      <alignment horizontal="center" vertical="center" wrapText="1"/>
    </xf>
    <xf numFmtId="0" fontId="54" fillId="34" borderId="10" xfId="247" applyFont="1" applyFill="1" applyBorder="1" applyAlignment="1">
      <alignment horizontal="right" wrapText="1"/>
      <protection/>
    </xf>
    <xf numFmtId="43" fontId="54" fillId="34" borderId="10" xfId="93" applyFont="1" applyFill="1" applyBorder="1" applyAlignment="1">
      <alignment horizontal="center" wrapText="1"/>
    </xf>
    <xf numFmtId="0" fontId="54" fillId="34" borderId="10" xfId="247" applyFont="1" applyFill="1" applyBorder="1" applyAlignment="1">
      <alignment wrapText="1"/>
      <protection/>
    </xf>
    <xf numFmtId="1" fontId="54" fillId="34" borderId="10" xfId="247" applyNumberFormat="1" applyFont="1" applyFill="1" applyBorder="1" applyAlignment="1">
      <alignment horizontal="center" vertical="center" wrapText="1"/>
      <protection/>
    </xf>
    <xf numFmtId="2" fontId="54" fillId="34" borderId="10" xfId="247" applyNumberFormat="1" applyFont="1" applyFill="1" applyBorder="1" applyAlignment="1">
      <alignment horizontal="left" wrapText="1"/>
      <protection/>
    </xf>
    <xf numFmtId="2" fontId="54" fillId="34" borderId="10" xfId="138" applyNumberFormat="1" applyFont="1" applyFill="1" applyBorder="1" applyAlignment="1">
      <alignment horizontal="center" vertical="center" wrapText="1"/>
    </xf>
    <xf numFmtId="179" fontId="54" fillId="34" borderId="10" xfId="139" applyNumberFormat="1" applyFont="1" applyFill="1" applyBorder="1" applyAlignment="1">
      <alignment horizontal="right" vertical="center" wrapText="1"/>
    </xf>
    <xf numFmtId="0" fontId="12" fillId="34" borderId="10" xfId="206" applyFont="1" applyFill="1" applyBorder="1">
      <alignment/>
      <protection/>
    </xf>
    <xf numFmtId="0" fontId="54" fillId="34" borderId="10" xfId="247" applyFont="1" applyFill="1" applyBorder="1" applyAlignment="1">
      <alignment vertical="center" wrapText="1"/>
      <protection/>
    </xf>
    <xf numFmtId="0" fontId="54" fillId="34" borderId="10" xfId="247" applyFont="1" applyFill="1" applyBorder="1" applyAlignment="1">
      <alignment horizontal="left" vertical="center" wrapText="1"/>
      <protection/>
    </xf>
    <xf numFmtId="43" fontId="12" fillId="34" borderId="10" xfId="93" applyFont="1" applyFill="1" applyBorder="1" applyAlignment="1">
      <alignment horizontal="right" vertical="center"/>
    </xf>
    <xf numFmtId="0" fontId="57" fillId="34" borderId="22" xfId="247" applyFont="1" applyFill="1" applyBorder="1" applyAlignment="1">
      <alignment horizontal="center" vertical="center" wrapText="1"/>
      <protection/>
    </xf>
    <xf numFmtId="0" fontId="57" fillId="34" borderId="22" xfId="247" applyFont="1" applyFill="1" applyBorder="1" applyAlignment="1">
      <alignment wrapText="1"/>
      <protection/>
    </xf>
    <xf numFmtId="182" fontId="54" fillId="34" borderId="22" xfId="138" applyNumberFormat="1" applyFont="1" applyFill="1" applyBorder="1" applyAlignment="1">
      <alignment horizontal="center" vertical="center" wrapText="1"/>
    </xf>
    <xf numFmtId="191" fontId="54" fillId="34" borderId="22" xfId="93" applyNumberFormat="1" applyFont="1" applyFill="1" applyBorder="1" applyAlignment="1">
      <alignment horizontal="right" vertical="center" wrapText="1"/>
    </xf>
    <xf numFmtId="191" fontId="54" fillId="34" borderId="22" xfId="93" applyNumberFormat="1" applyFont="1" applyFill="1" applyBorder="1" applyAlignment="1">
      <alignment horizontal="right" wrapText="1"/>
    </xf>
    <xf numFmtId="43" fontId="54" fillId="34" borderId="22" xfId="93" applyFont="1" applyFill="1" applyBorder="1" applyAlignment="1">
      <alignment horizontal="right" wrapText="1"/>
    </xf>
    <xf numFmtId="0" fontId="54" fillId="34" borderId="10" xfId="247" applyFont="1" applyFill="1" applyBorder="1" applyAlignment="1" quotePrefix="1">
      <alignment vertical="center" wrapText="1"/>
      <protection/>
    </xf>
    <xf numFmtId="0" fontId="70" fillId="34" borderId="10" xfId="247" applyFont="1" applyFill="1" applyBorder="1" applyAlignment="1">
      <alignment horizontal="center" vertical="center" wrapText="1"/>
      <protection/>
    </xf>
    <xf numFmtId="191" fontId="70" fillId="34" borderId="10" xfId="93" applyNumberFormat="1" applyFont="1" applyFill="1" applyBorder="1" applyAlignment="1">
      <alignment horizontal="center" vertical="center" wrapText="1"/>
    </xf>
    <xf numFmtId="0" fontId="54" fillId="34" borderId="10" xfId="202" applyFont="1" applyFill="1" applyBorder="1">
      <alignment/>
      <protection/>
    </xf>
    <xf numFmtId="43" fontId="54" fillId="34" borderId="10" xfId="93" applyFont="1" applyFill="1" applyBorder="1" applyAlignment="1">
      <alignment/>
    </xf>
    <xf numFmtId="191" fontId="12" fillId="34" borderId="10" xfId="93" applyNumberFormat="1" applyFont="1" applyFill="1" applyBorder="1" applyAlignment="1">
      <alignment horizontal="right" vertical="center" wrapText="1"/>
    </xf>
    <xf numFmtId="0" fontId="54" fillId="34" borderId="10" xfId="202" applyFont="1" applyFill="1" applyBorder="1" applyAlignment="1">
      <alignment wrapText="1"/>
      <protection/>
    </xf>
    <xf numFmtId="0" fontId="54" fillId="34" borderId="10" xfId="202" applyFont="1" applyFill="1" applyBorder="1" applyAlignment="1">
      <alignment horizontal="center" vertical="center"/>
      <protection/>
    </xf>
    <xf numFmtId="191" fontId="0" fillId="0" borderId="10" xfId="93" applyNumberFormat="1" applyFont="1" applyFill="1" applyBorder="1" applyAlignment="1">
      <alignment horizontal="right" vertical="center" wrapText="1"/>
    </xf>
    <xf numFmtId="188" fontId="12" fillId="0" borderId="10" xfId="195" applyNumberFormat="1" applyFont="1" applyFill="1" applyBorder="1" applyAlignment="1">
      <alignment horizontal="right" wrapText="1"/>
      <protection/>
    </xf>
    <xf numFmtId="221" fontId="11" fillId="0" borderId="28" xfId="195" applyNumberFormat="1" applyFont="1" applyFill="1" applyBorder="1" applyAlignment="1">
      <alignment horizontal="right" vertical="center" wrapText="1"/>
      <protection/>
    </xf>
    <xf numFmtId="182" fontId="11" fillId="0" borderId="10" xfId="95" applyNumberFormat="1" applyFont="1" applyFill="1" applyBorder="1" applyAlignment="1">
      <alignment horizontal="right" vertical="center" wrapText="1"/>
    </xf>
    <xf numFmtId="3" fontId="12" fillId="0" borderId="28" xfId="95" applyNumberFormat="1" applyFont="1" applyFill="1" applyBorder="1" applyAlignment="1" applyProtection="1">
      <alignment horizontal="right" vertical="center" wrapText="1"/>
      <protection/>
    </xf>
    <xf numFmtId="221" fontId="11" fillId="0" borderId="28" xfId="95" applyNumberFormat="1" applyFont="1" applyFill="1" applyBorder="1" applyAlignment="1" applyProtection="1">
      <alignment horizontal="right" vertical="center" wrapText="1"/>
      <protection/>
    </xf>
    <xf numFmtId="0" fontId="11" fillId="0" borderId="28" xfId="291" applyFont="1" applyBorder="1" applyAlignment="1">
      <alignment horizontal="right" vertical="center" wrapText="1"/>
      <protection/>
    </xf>
    <xf numFmtId="0" fontId="11" fillId="0" borderId="29" xfId="291" applyFont="1" applyBorder="1" applyAlignment="1">
      <alignment horizontal="center" vertical="center" wrapText="1"/>
      <protection/>
    </xf>
    <xf numFmtId="49" fontId="11" fillId="0" borderId="29" xfId="291" applyNumberFormat="1" applyFont="1" applyBorder="1" applyAlignment="1">
      <alignment vertical="center" wrapText="1"/>
      <protection/>
    </xf>
    <xf numFmtId="0" fontId="11" fillId="0" borderId="28" xfId="291" applyFont="1" applyBorder="1" applyAlignment="1">
      <alignment horizontal="center" vertical="center" wrapText="1"/>
      <protection/>
    </xf>
    <xf numFmtId="0" fontId="11" fillId="0" borderId="28" xfId="195" applyFont="1" applyFill="1" applyBorder="1" applyAlignment="1">
      <alignment horizontal="right" vertical="center" wrapText="1"/>
      <protection/>
    </xf>
    <xf numFmtId="1" fontId="11" fillId="0" borderId="10" xfId="195" applyNumberFormat="1" applyFont="1" applyFill="1" applyBorder="1" applyAlignment="1">
      <alignment horizontal="right" vertical="center" wrapText="1"/>
      <protection/>
    </xf>
    <xf numFmtId="49" fontId="11" fillId="0" borderId="28" xfId="291" applyNumberFormat="1" applyFont="1" applyBorder="1" applyAlignment="1">
      <alignment vertical="center" wrapText="1"/>
      <protection/>
    </xf>
    <xf numFmtId="0" fontId="11" fillId="0" borderId="10" xfId="291" applyFont="1" applyFill="1" applyBorder="1" applyAlignment="1">
      <alignment horizontal="right" vertical="center" wrapText="1"/>
      <protection/>
    </xf>
    <xf numFmtId="188" fontId="11" fillId="0" borderId="10" xfId="291" applyNumberFormat="1" applyFont="1" applyFill="1" applyBorder="1" applyAlignment="1">
      <alignment horizontal="right" vertical="center" wrapText="1"/>
      <protection/>
    </xf>
    <xf numFmtId="182" fontId="11" fillId="0" borderId="10" xfId="93" applyNumberFormat="1" applyFont="1" applyFill="1" applyBorder="1" applyAlignment="1">
      <alignment horizontal="right" vertical="center"/>
    </xf>
    <xf numFmtId="0" fontId="11" fillId="0" borderId="28" xfId="291" applyFont="1" applyFill="1" applyBorder="1" applyAlignment="1">
      <alignment horizontal="right" vertical="center" wrapText="1"/>
      <protection/>
    </xf>
    <xf numFmtId="1" fontId="11" fillId="0" borderId="28" xfId="195" applyNumberFormat="1" applyFont="1" applyFill="1" applyBorder="1" applyAlignment="1">
      <alignment horizontal="right" vertical="center" wrapText="1"/>
      <protection/>
    </xf>
    <xf numFmtId="222" fontId="11" fillId="0" borderId="28" xfId="195" applyNumberFormat="1" applyFont="1" applyFill="1" applyBorder="1" applyAlignment="1">
      <alignment horizontal="right" vertical="center" wrapText="1"/>
      <protection/>
    </xf>
    <xf numFmtId="182" fontId="11" fillId="0" borderId="10" xfId="195" applyNumberFormat="1" applyFont="1" applyFill="1" applyBorder="1" applyAlignment="1">
      <alignment horizontal="right" vertical="center" wrapText="1"/>
      <protection/>
    </xf>
    <xf numFmtId="179" fontId="11" fillId="0" borderId="10" xfId="195" applyNumberFormat="1" applyFont="1" applyFill="1" applyBorder="1" applyAlignment="1">
      <alignment horizontal="right" vertical="center" wrapText="1"/>
      <protection/>
    </xf>
    <xf numFmtId="0" fontId="12" fillId="0" borderId="28" xfId="291" applyFont="1" applyBorder="1" applyAlignment="1">
      <alignment horizontal="center" vertical="center" wrapText="1"/>
      <protection/>
    </xf>
    <xf numFmtId="0" fontId="12" fillId="0" borderId="10" xfId="291" applyFont="1" applyFill="1" applyBorder="1" applyAlignment="1">
      <alignment horizontal="right" vertical="center" wrapText="1"/>
      <protection/>
    </xf>
    <xf numFmtId="221" fontId="12" fillId="0" borderId="28" xfId="291" applyNumberFormat="1" applyFont="1" applyFill="1" applyBorder="1" applyAlignment="1">
      <alignment horizontal="right" vertical="center" wrapText="1"/>
      <protection/>
    </xf>
    <xf numFmtId="0" fontId="12" fillId="0" borderId="28" xfId="291" applyFont="1" applyFill="1" applyBorder="1" applyAlignment="1">
      <alignment horizontal="right" vertical="center" wrapText="1"/>
      <protection/>
    </xf>
    <xf numFmtId="0" fontId="12" fillId="0" borderId="29" xfId="291" applyFont="1" applyBorder="1" applyAlignment="1">
      <alignment horizontal="center" vertical="center" wrapText="1"/>
      <protection/>
    </xf>
    <xf numFmtId="49" fontId="12" fillId="0" borderId="30" xfId="291" applyNumberFormat="1" applyFont="1" applyBorder="1" applyAlignment="1">
      <alignment vertical="center" wrapText="1"/>
      <protection/>
    </xf>
    <xf numFmtId="182" fontId="12" fillId="0" borderId="10" xfId="95" applyNumberFormat="1" applyFont="1" applyFill="1" applyBorder="1" applyAlignment="1">
      <alignment horizontal="right" vertical="center" wrapText="1"/>
    </xf>
    <xf numFmtId="182" fontId="12" fillId="0" borderId="10" xfId="93" applyNumberFormat="1" applyFont="1" applyFill="1" applyBorder="1" applyAlignment="1" applyProtection="1">
      <alignment horizontal="right" vertical="center"/>
      <protection locked="0"/>
    </xf>
    <xf numFmtId="182" fontId="12" fillId="0" borderId="10" xfId="93" applyNumberFormat="1" applyFont="1" applyFill="1" applyBorder="1" applyAlignment="1">
      <alignment horizontal="right" vertical="center"/>
    </xf>
    <xf numFmtId="179" fontId="12" fillId="0" borderId="10" xfId="195" applyNumberFormat="1" applyFont="1" applyFill="1" applyBorder="1" applyAlignment="1">
      <alignment horizontal="right" vertical="center" wrapText="1"/>
      <protection/>
    </xf>
    <xf numFmtId="0" fontId="12" fillId="0" borderId="31" xfId="291" applyFont="1" applyBorder="1" applyAlignment="1">
      <alignment horizontal="center" vertical="center" wrapText="1"/>
      <protection/>
    </xf>
    <xf numFmtId="0" fontId="12" fillId="0" borderId="32" xfId="291" applyFont="1" applyBorder="1" applyAlignment="1">
      <alignment horizontal="center" vertical="center" wrapText="1"/>
      <protection/>
    </xf>
    <xf numFmtId="0" fontId="11" fillId="0" borderId="32" xfId="291" applyFont="1" applyBorder="1" applyAlignment="1">
      <alignment horizontal="center" vertical="center" wrapText="1"/>
      <protection/>
    </xf>
    <xf numFmtId="182" fontId="11" fillId="0" borderId="10" xfId="93" applyNumberFormat="1" applyFont="1" applyFill="1" applyBorder="1" applyAlignment="1">
      <alignment horizontal="right" vertical="center" wrapText="1"/>
    </xf>
    <xf numFmtId="49" fontId="12" fillId="0" borderId="28" xfId="291" applyNumberFormat="1" applyFont="1" applyBorder="1" applyAlignment="1">
      <alignment vertical="center" wrapText="1"/>
      <protection/>
    </xf>
    <xf numFmtId="0" fontId="12" fillId="0" borderId="10" xfId="292" applyFont="1" applyFill="1" applyBorder="1" applyAlignment="1">
      <alignment horizontal="right" vertical="center" wrapText="1"/>
      <protection/>
    </xf>
    <xf numFmtId="0" fontId="11" fillId="0" borderId="29" xfId="291" applyFont="1" applyFill="1" applyBorder="1" applyAlignment="1">
      <alignment horizontal="center" vertical="center" wrapText="1"/>
      <protection/>
    </xf>
    <xf numFmtId="49" fontId="11" fillId="0" borderId="28" xfId="291" applyNumberFormat="1" applyFont="1" applyFill="1" applyBorder="1" applyAlignment="1">
      <alignment vertical="center" wrapText="1"/>
      <protection/>
    </xf>
    <xf numFmtId="0" fontId="12" fillId="0" borderId="28" xfId="291" applyFont="1" applyFill="1" applyBorder="1" applyAlignment="1">
      <alignment horizontal="center" vertical="center" wrapText="1"/>
      <protection/>
    </xf>
    <xf numFmtId="171" fontId="12" fillId="0" borderId="28" xfId="95" applyFont="1" applyFill="1" applyBorder="1" applyAlignment="1" applyProtection="1">
      <alignment horizontal="right" vertical="center" wrapText="1"/>
      <protection/>
    </xf>
    <xf numFmtId="222" fontId="12" fillId="0" borderId="28" xfId="95" applyNumberFormat="1" applyFont="1" applyFill="1" applyBorder="1" applyAlignment="1" applyProtection="1">
      <alignment horizontal="right" vertical="center" wrapText="1"/>
      <protection/>
    </xf>
    <xf numFmtId="188" fontId="12" fillId="0" borderId="10" xfId="195" applyNumberFormat="1" applyFont="1" applyFill="1" applyBorder="1" applyAlignment="1">
      <alignment horizontal="right" vertical="center" wrapText="1"/>
      <protection/>
    </xf>
    <xf numFmtId="188" fontId="12" fillId="30" borderId="10" xfId="291" applyNumberFormat="1" applyFont="1" applyFill="1" applyBorder="1" applyAlignment="1">
      <alignment horizontal="right" vertical="center" wrapText="1"/>
      <protection/>
    </xf>
    <xf numFmtId="188" fontId="12" fillId="0" borderId="10" xfId="291" applyNumberFormat="1" applyFont="1" applyFill="1" applyBorder="1" applyAlignment="1">
      <alignment horizontal="right" vertical="center" wrapText="1"/>
      <protection/>
    </xf>
    <xf numFmtId="0" fontId="11" fillId="0" borderId="32" xfId="291" applyFont="1" applyFill="1" applyBorder="1" applyAlignment="1">
      <alignment horizontal="center" vertical="center" wrapText="1"/>
      <protection/>
    </xf>
    <xf numFmtId="0" fontId="12" fillId="0" borderId="0" xfId="195" applyFont="1" applyFill="1" applyAlignment="1">
      <alignment horizontal="right" vertical="center" wrapText="1"/>
      <protection/>
    </xf>
    <xf numFmtId="221" fontId="12" fillId="0" borderId="28" xfId="95" applyNumberFormat="1" applyFont="1" applyFill="1" applyBorder="1" applyAlignment="1" applyProtection="1">
      <alignment horizontal="right" vertical="center" wrapText="1"/>
      <protection/>
    </xf>
    <xf numFmtId="182" fontId="12" fillId="30" borderId="10" xfId="291" applyNumberFormat="1" applyFont="1" applyFill="1" applyBorder="1" applyAlignment="1">
      <alignment horizontal="right" vertical="center" wrapText="1"/>
      <protection/>
    </xf>
    <xf numFmtId="182" fontId="12" fillId="0" borderId="10" xfId="291" applyNumberFormat="1" applyFont="1" applyFill="1" applyBorder="1" applyAlignment="1">
      <alignment horizontal="right" vertical="center" wrapText="1"/>
      <protection/>
    </xf>
    <xf numFmtId="221" fontId="12" fillId="0" borderId="28" xfId="195" applyNumberFormat="1" applyFont="1" applyFill="1" applyBorder="1" applyAlignment="1">
      <alignment horizontal="right" vertical="center" wrapText="1"/>
      <protection/>
    </xf>
    <xf numFmtId="222" fontId="12" fillId="0" borderId="28" xfId="195" applyNumberFormat="1" applyFont="1" applyFill="1" applyBorder="1" applyAlignment="1">
      <alignment horizontal="right" vertical="center" wrapText="1"/>
      <protection/>
    </xf>
    <xf numFmtId="182" fontId="11" fillId="30" borderId="10" xfId="195" applyNumberFormat="1" applyFont="1" applyFill="1" applyBorder="1" applyAlignment="1">
      <alignment horizontal="right" vertical="center" wrapText="1"/>
      <protection/>
    </xf>
    <xf numFmtId="0" fontId="11" fillId="0" borderId="28" xfId="195" applyFont="1" applyFill="1" applyBorder="1" applyAlignment="1">
      <alignment horizontal="center" vertical="center" wrapText="1"/>
      <protection/>
    </xf>
    <xf numFmtId="0" fontId="11" fillId="0" borderId="28" xfId="195" applyFont="1" applyFill="1" applyBorder="1" applyAlignment="1">
      <alignment vertical="center" wrapText="1"/>
      <protection/>
    </xf>
    <xf numFmtId="0" fontId="12" fillId="0" borderId="28" xfId="195" applyFont="1" applyFill="1" applyBorder="1" applyAlignment="1">
      <alignment horizontal="center" vertical="center" wrapText="1"/>
      <protection/>
    </xf>
    <xf numFmtId="0" fontId="12" fillId="0" borderId="28" xfId="195" applyFont="1" applyFill="1" applyBorder="1" applyAlignment="1">
      <alignment horizontal="right" vertical="center" wrapText="1"/>
      <protection/>
    </xf>
    <xf numFmtId="0" fontId="12" fillId="0" borderId="28" xfId="195" applyFont="1" applyBorder="1" applyAlignment="1">
      <alignment horizontal="center" vertical="center" wrapText="1"/>
      <protection/>
    </xf>
    <xf numFmtId="188" fontId="12" fillId="30" borderId="10" xfId="195" applyNumberFormat="1" applyFont="1" applyFill="1" applyBorder="1" applyAlignment="1">
      <alignment horizontal="right" vertical="center" wrapText="1"/>
      <protection/>
    </xf>
    <xf numFmtId="188" fontId="12" fillId="0" borderId="28" xfId="195" applyNumberFormat="1" applyFont="1" applyFill="1" applyBorder="1" applyAlignment="1">
      <alignment horizontal="right" vertical="center" wrapText="1"/>
      <protection/>
    </xf>
    <xf numFmtId="179" fontId="12" fillId="30" borderId="10" xfId="195" applyNumberFormat="1" applyFont="1" applyFill="1" applyBorder="1" applyAlignment="1">
      <alignment horizontal="right" vertical="center" wrapText="1"/>
      <protection/>
    </xf>
    <xf numFmtId="171" fontId="12" fillId="30" borderId="10" xfId="195" applyNumberFormat="1" applyFont="1" applyFill="1" applyBorder="1" applyAlignment="1">
      <alignment horizontal="right" vertical="center" wrapText="1"/>
      <protection/>
    </xf>
    <xf numFmtId="2" fontId="12" fillId="0" borderId="28" xfId="195" applyNumberFormat="1" applyFont="1" applyFill="1" applyBorder="1" applyAlignment="1">
      <alignment horizontal="right" vertical="center" wrapText="1"/>
      <protection/>
    </xf>
    <xf numFmtId="223" fontId="12" fillId="0" borderId="28" xfId="195" applyNumberFormat="1" applyFont="1" applyFill="1" applyBorder="1" applyAlignment="1">
      <alignment horizontal="right" vertical="center" wrapText="1"/>
      <protection/>
    </xf>
    <xf numFmtId="0" fontId="11" fillId="0" borderId="28" xfId="291" applyFont="1" applyFill="1" applyBorder="1" applyAlignment="1">
      <alignment horizontal="center" vertical="center" wrapText="1"/>
      <protection/>
    </xf>
    <xf numFmtId="3" fontId="11" fillId="0" borderId="28" xfId="195" applyNumberFormat="1" applyFont="1" applyFill="1" applyBorder="1" applyAlignment="1">
      <alignment horizontal="right" vertical="center" wrapText="1"/>
      <protection/>
    </xf>
    <xf numFmtId="43" fontId="12" fillId="0" borderId="28" xfId="134" applyFont="1" applyFill="1" applyBorder="1" applyAlignment="1" applyProtection="1">
      <alignment horizontal="right" vertical="center" wrapText="1"/>
      <protection/>
    </xf>
    <xf numFmtId="3" fontId="12" fillId="0" borderId="28" xfId="195" applyNumberFormat="1" applyFont="1" applyFill="1" applyBorder="1" applyAlignment="1">
      <alignment horizontal="right" vertical="center" wrapText="1"/>
      <protection/>
    </xf>
    <xf numFmtId="188" fontId="12" fillId="0" borderId="28" xfId="291" applyNumberFormat="1" applyFont="1" applyFill="1" applyBorder="1" applyAlignment="1">
      <alignment horizontal="right" vertical="center" wrapText="1"/>
      <protection/>
    </xf>
    <xf numFmtId="2" fontId="12" fillId="0" borderId="10" xfId="291" applyNumberFormat="1" applyFont="1" applyFill="1" applyBorder="1" applyAlignment="1">
      <alignment horizontal="right" vertical="center" wrapText="1"/>
      <protection/>
    </xf>
    <xf numFmtId="2" fontId="12" fillId="0" borderId="28" xfId="291" applyNumberFormat="1" applyFont="1" applyFill="1" applyBorder="1" applyAlignment="1">
      <alignment horizontal="right" vertical="center" wrapText="1"/>
      <protection/>
    </xf>
    <xf numFmtId="2" fontId="12" fillId="30" borderId="10" xfId="291" applyNumberFormat="1" applyFont="1" applyFill="1" applyBorder="1" applyAlignment="1">
      <alignment horizontal="right" vertical="center" wrapText="1"/>
      <protection/>
    </xf>
    <xf numFmtId="1" fontId="12" fillId="0" borderId="28" xfId="195" applyNumberFormat="1" applyFont="1" applyFill="1" applyBorder="1" applyAlignment="1">
      <alignment horizontal="right" vertical="center" wrapText="1"/>
      <protection/>
    </xf>
    <xf numFmtId="2" fontId="12" fillId="0" borderId="10" xfId="291" applyNumberFormat="1" applyFont="1" applyFill="1" applyBorder="1" applyAlignment="1">
      <alignment horizontal="right" wrapText="1"/>
      <protection/>
    </xf>
    <xf numFmtId="221" fontId="11" fillId="0" borderId="28" xfId="118" applyNumberFormat="1" applyFont="1" applyFill="1" applyBorder="1" applyAlignment="1" applyProtection="1">
      <alignment horizontal="right" vertical="center" wrapText="1"/>
      <protection/>
    </xf>
    <xf numFmtId="0" fontId="12" fillId="0" borderId="28" xfId="291" applyFont="1" applyBorder="1" applyAlignment="1">
      <alignment horizontal="right" vertical="center" wrapText="1"/>
      <protection/>
    </xf>
    <xf numFmtId="188" fontId="12" fillId="0" borderId="28" xfId="291" applyNumberFormat="1" applyFont="1" applyBorder="1" applyAlignment="1">
      <alignment horizontal="right" vertical="center" wrapText="1"/>
      <protection/>
    </xf>
    <xf numFmtId="188" fontId="12" fillId="0" borderId="10" xfId="291" applyNumberFormat="1" applyFont="1" applyFill="1" applyBorder="1" applyAlignment="1">
      <alignment horizontal="right" wrapText="1"/>
      <protection/>
    </xf>
    <xf numFmtId="0" fontId="62" fillId="0" borderId="32" xfId="291" applyFont="1" applyBorder="1" applyAlignment="1">
      <alignment horizontal="center" vertical="center" wrapText="1"/>
      <protection/>
    </xf>
    <xf numFmtId="49" fontId="12" fillId="0" borderId="28" xfId="292" applyNumberFormat="1" applyFont="1" applyBorder="1" applyAlignment="1">
      <alignment vertical="center" wrapText="1"/>
      <protection/>
    </xf>
    <xf numFmtId="3" fontId="12" fillId="0" borderId="28" xfId="291" applyNumberFormat="1" applyFont="1" applyBorder="1" applyAlignment="1">
      <alignment horizontal="right" vertical="center" wrapText="1"/>
      <protection/>
    </xf>
    <xf numFmtId="3" fontId="12" fillId="0" borderId="28" xfId="291" applyNumberFormat="1" applyFont="1" applyFill="1" applyBorder="1" applyAlignment="1">
      <alignment horizontal="right" vertical="center" wrapText="1"/>
      <protection/>
    </xf>
    <xf numFmtId="1" fontId="11" fillId="0" borderId="28" xfId="291" applyNumberFormat="1" applyFont="1" applyFill="1" applyBorder="1" applyAlignment="1">
      <alignment horizontal="right" vertical="center" wrapText="1"/>
      <protection/>
    </xf>
    <xf numFmtId="0" fontId="12" fillId="0" borderId="28" xfId="195" applyFont="1" applyBorder="1" applyAlignment="1">
      <alignment vertical="center" wrapText="1"/>
      <protection/>
    </xf>
    <xf numFmtId="1" fontId="12" fillId="0" borderId="28" xfId="291" applyNumberFormat="1" applyFont="1" applyFill="1" applyBorder="1" applyAlignment="1">
      <alignment horizontal="right" vertical="center" wrapText="1"/>
      <protection/>
    </xf>
    <xf numFmtId="1" fontId="12" fillId="0" borderId="28" xfId="291" applyNumberFormat="1" applyFont="1" applyBorder="1" applyAlignment="1">
      <alignment horizontal="right" vertical="center" wrapText="1"/>
      <protection/>
    </xf>
    <xf numFmtId="49" fontId="11" fillId="0" borderId="32" xfId="291" applyNumberFormat="1" applyFont="1" applyBorder="1" applyAlignment="1">
      <alignment vertical="center" wrapText="1"/>
      <protection/>
    </xf>
    <xf numFmtId="0" fontId="12" fillId="0" borderId="32" xfId="292" applyFont="1" applyBorder="1" applyAlignment="1">
      <alignment horizontal="center" vertical="center" wrapText="1"/>
      <protection/>
    </xf>
    <xf numFmtId="0" fontId="12" fillId="0" borderId="28" xfId="292" applyFont="1" applyBorder="1" applyAlignment="1">
      <alignment horizontal="center" vertical="center" wrapText="1"/>
      <protection/>
    </xf>
    <xf numFmtId="0" fontId="12" fillId="0" borderId="28" xfId="292" applyFont="1" applyFill="1" applyBorder="1" applyAlignment="1">
      <alignment horizontal="right" vertical="center" wrapText="1"/>
      <protection/>
    </xf>
    <xf numFmtId="0" fontId="12" fillId="0" borderId="31" xfId="292" applyFont="1" applyBorder="1" applyAlignment="1">
      <alignment horizontal="center" vertical="center" wrapText="1"/>
      <protection/>
    </xf>
    <xf numFmtId="0" fontId="12" fillId="0" borderId="32" xfId="292" applyFont="1" applyFill="1" applyBorder="1" applyAlignment="1">
      <alignment horizontal="center" vertical="center" wrapText="1"/>
      <protection/>
    </xf>
    <xf numFmtId="49" fontId="12" fillId="0" borderId="28" xfId="292" applyNumberFormat="1" applyFont="1" applyFill="1" applyBorder="1" applyAlignment="1">
      <alignment vertical="center" wrapText="1"/>
      <protection/>
    </xf>
    <xf numFmtId="49" fontId="12" fillId="0" borderId="28" xfId="291" applyNumberFormat="1" applyFont="1" applyFill="1" applyBorder="1" applyAlignment="1">
      <alignment vertical="center" wrapText="1"/>
      <protection/>
    </xf>
    <xf numFmtId="0" fontId="11" fillId="0" borderId="28" xfId="195" applyFont="1" applyFill="1" applyBorder="1" applyAlignment="1">
      <alignment horizontal="center" vertical="center"/>
      <protection/>
    </xf>
    <xf numFmtId="0" fontId="11" fillId="0" borderId="28" xfId="195" applyFont="1" applyFill="1" applyBorder="1" applyAlignment="1">
      <alignment vertical="center"/>
      <protection/>
    </xf>
    <xf numFmtId="0" fontId="11" fillId="0" borderId="28" xfId="195" applyFont="1" applyFill="1" applyBorder="1" applyAlignment="1">
      <alignment horizontal="right" vertical="center"/>
      <protection/>
    </xf>
    <xf numFmtId="49" fontId="11" fillId="0" borderId="28" xfId="291" applyNumberFormat="1" applyFont="1" applyFill="1" applyBorder="1" applyAlignment="1">
      <alignment horizontal="center" vertical="center" wrapText="1"/>
      <protection/>
    </xf>
    <xf numFmtId="0" fontId="12" fillId="0" borderId="28" xfId="195" applyFont="1" applyFill="1" applyBorder="1" applyAlignment="1">
      <alignment vertical="center"/>
      <protection/>
    </xf>
    <xf numFmtId="49" fontId="12" fillId="0" borderId="28" xfId="291" applyNumberFormat="1" applyFont="1" applyFill="1" applyBorder="1" applyAlignment="1">
      <alignment horizontal="right" vertical="center" wrapText="1"/>
      <protection/>
    </xf>
    <xf numFmtId="49" fontId="11" fillId="0" borderId="28" xfId="291" applyNumberFormat="1" applyFont="1" applyFill="1" applyBorder="1" applyAlignment="1">
      <alignment horizontal="right" vertical="center" wrapText="1"/>
      <protection/>
    </xf>
    <xf numFmtId="0" fontId="11" fillId="0" borderId="28" xfId="293" applyFont="1" applyFill="1" applyBorder="1" applyAlignment="1">
      <alignment horizontal="left" vertical="center" wrapText="1"/>
      <protection/>
    </xf>
    <xf numFmtId="182" fontId="12" fillId="0" borderId="10" xfId="113" applyNumberFormat="1" applyFont="1" applyFill="1" applyBorder="1" applyAlignment="1">
      <alignment horizontal="right" vertical="center"/>
    </xf>
    <xf numFmtId="49" fontId="11" fillId="0" borderId="30" xfId="291" applyNumberFormat="1" applyFont="1" applyFill="1" applyBorder="1" applyAlignment="1">
      <alignment vertical="center" wrapText="1"/>
      <protection/>
    </xf>
    <xf numFmtId="3" fontId="11" fillId="0" borderId="28" xfId="291" applyNumberFormat="1" applyFont="1" applyFill="1" applyBorder="1" applyAlignment="1">
      <alignment horizontal="right" vertical="center" wrapText="1"/>
      <protection/>
    </xf>
    <xf numFmtId="179" fontId="12" fillId="0" borderId="10" xfId="113" applyNumberFormat="1" applyFont="1" applyFill="1" applyBorder="1" applyAlignment="1">
      <alignment horizontal="right" vertical="center"/>
    </xf>
    <xf numFmtId="176" fontId="12" fillId="0" borderId="28" xfId="291" applyNumberFormat="1" applyFont="1" applyFill="1" applyBorder="1" applyAlignment="1">
      <alignment horizontal="right" vertical="center" wrapText="1"/>
      <protection/>
    </xf>
    <xf numFmtId="1" fontId="53" fillId="0" borderId="0" xfId="195" applyNumberFormat="1" applyFont="1" applyAlignment="1">
      <alignment vertical="center"/>
      <protection/>
    </xf>
    <xf numFmtId="171" fontId="54" fillId="0" borderId="33" xfId="136" applyFont="1" applyBorder="1" applyAlignment="1">
      <alignment horizontal="right" vertical="center" wrapText="1"/>
    </xf>
    <xf numFmtId="0" fontId="57" fillId="0" borderId="0" xfId="253" applyFont="1" applyBorder="1" applyAlignment="1">
      <alignment vertical="center"/>
      <protection/>
    </xf>
    <xf numFmtId="2" fontId="54" fillId="0" borderId="0" xfId="253" applyNumberFormat="1" applyFont="1" applyBorder="1" applyAlignment="1">
      <alignment vertical="center"/>
      <protection/>
    </xf>
    <xf numFmtId="0" fontId="54" fillId="0" borderId="0" xfId="0" applyFont="1" applyBorder="1" applyAlignment="1">
      <alignment vertical="center" wrapText="1"/>
    </xf>
    <xf numFmtId="0" fontId="54" fillId="0" borderId="0" xfId="296" applyFont="1" applyBorder="1" applyAlignment="1">
      <alignment horizontal="center" vertical="center"/>
      <protection/>
    </xf>
    <xf numFmtId="4" fontId="54" fillId="0" borderId="0" xfId="137" applyNumberFormat="1" applyFont="1" applyBorder="1" applyAlignment="1">
      <alignment horizontal="center" vertical="center" wrapText="1"/>
    </xf>
    <xf numFmtId="0" fontId="54" fillId="0" borderId="0" xfId="296" applyFont="1" applyBorder="1" applyAlignment="1">
      <alignment horizontal="justify" vertical="center"/>
      <protection/>
    </xf>
    <xf numFmtId="0" fontId="54" fillId="0" borderId="0" xfId="0" applyFont="1" applyBorder="1" applyAlignment="1">
      <alignment horizontal="center" vertical="center" wrapText="1"/>
    </xf>
    <xf numFmtId="0" fontId="12" fillId="0" borderId="0" xfId="253" applyFont="1" applyBorder="1" applyAlignment="1">
      <alignment vertical="center"/>
      <protection/>
    </xf>
    <xf numFmtId="4" fontId="0" fillId="0" borderId="10" xfId="265" applyNumberFormat="1" applyFont="1" applyBorder="1" applyAlignment="1">
      <alignment vertical="center"/>
      <protection/>
    </xf>
    <xf numFmtId="194" fontId="5" fillId="0" borderId="10" xfId="265" applyNumberFormat="1" applyFont="1" applyBorder="1" applyAlignment="1">
      <alignment vertical="center"/>
      <protection/>
    </xf>
    <xf numFmtId="0" fontId="0" fillId="0" borderId="0" xfId="265" applyFont="1" applyAlignment="1">
      <alignment horizontal="center" vertical="center"/>
      <protection/>
    </xf>
    <xf numFmtId="0" fontId="0" fillId="0" borderId="0" xfId="265" applyFont="1" applyAlignment="1">
      <alignment vertical="center" wrapText="1"/>
      <protection/>
    </xf>
    <xf numFmtId="0" fontId="0" fillId="0" borderId="10" xfId="265" applyFont="1" applyBorder="1" applyAlignment="1">
      <alignment horizontal="center" vertical="center" wrapText="1"/>
      <protection/>
    </xf>
    <xf numFmtId="43" fontId="0" fillId="0" borderId="10" xfId="93" applyFont="1" applyBorder="1" applyAlignment="1">
      <alignment horizontal="center" vertical="center" wrapText="1"/>
    </xf>
    <xf numFmtId="0" fontId="0" fillId="0" borderId="0" xfId="265" applyFont="1" applyAlignment="1">
      <alignment horizontal="center" vertical="center" wrapText="1"/>
      <protection/>
    </xf>
    <xf numFmtId="0" fontId="0" fillId="0" borderId="10" xfId="265" applyFont="1" applyBorder="1" applyAlignment="1">
      <alignment horizontal="center" vertical="center"/>
      <protection/>
    </xf>
    <xf numFmtId="189" fontId="5" fillId="0" borderId="10" xfId="265" applyNumberFormat="1" applyFont="1" applyBorder="1" applyAlignment="1">
      <alignment vertical="center"/>
      <protection/>
    </xf>
    <xf numFmtId="0" fontId="0" fillId="0" borderId="10" xfId="265" applyFont="1" applyBorder="1" applyAlignment="1">
      <alignment vertical="center" wrapText="1"/>
      <protection/>
    </xf>
    <xf numFmtId="3" fontId="0" fillId="0" borderId="10" xfId="265" applyNumberFormat="1" applyFont="1" applyBorder="1" applyAlignment="1">
      <alignment vertical="center"/>
      <protection/>
    </xf>
    <xf numFmtId="196" fontId="0" fillId="0" borderId="10" xfId="265" applyNumberFormat="1" applyFont="1" applyBorder="1" applyAlignment="1">
      <alignment vertical="center"/>
      <protection/>
    </xf>
    <xf numFmtId="0" fontId="0" fillId="0" borderId="10" xfId="265" applyFont="1" applyBorder="1" applyAlignment="1" quotePrefix="1">
      <alignment horizontal="center" vertical="center"/>
      <protection/>
    </xf>
    <xf numFmtId="4" fontId="0" fillId="34" borderId="10" xfId="265" applyNumberFormat="1" applyFont="1" applyFill="1" applyBorder="1" applyAlignment="1">
      <alignment vertical="center"/>
      <protection/>
    </xf>
    <xf numFmtId="189" fontId="0" fillId="0" borderId="10" xfId="265" applyNumberFormat="1" applyFont="1" applyBorder="1" applyAlignment="1">
      <alignment vertical="center"/>
      <protection/>
    </xf>
    <xf numFmtId="0" fontId="0" fillId="0" borderId="10" xfId="265" applyFont="1" applyBorder="1" applyAlignment="1" quotePrefix="1">
      <alignment vertical="center" wrapText="1"/>
      <protection/>
    </xf>
    <xf numFmtId="176" fontId="0" fillId="0" borderId="10" xfId="265" applyNumberFormat="1" applyFont="1" applyBorder="1" applyAlignment="1">
      <alignment vertical="center"/>
      <protection/>
    </xf>
    <xf numFmtId="3" fontId="5" fillId="0" borderId="10" xfId="265" applyNumberFormat="1" applyFont="1" applyBorder="1" applyAlignment="1">
      <alignment vertical="center"/>
      <protection/>
    </xf>
    <xf numFmtId="4" fontId="0" fillId="0" borderId="10" xfId="136" applyNumberFormat="1" applyFont="1" applyBorder="1" applyAlignment="1">
      <alignment vertical="center"/>
    </xf>
    <xf numFmtId="189" fontId="0" fillId="0" borderId="10" xfId="136" applyNumberFormat="1" applyFont="1" applyBorder="1" applyAlignment="1">
      <alignment vertical="center"/>
    </xf>
    <xf numFmtId="171" fontId="0" fillId="0" borderId="10" xfId="136" applyFont="1" applyBorder="1" applyAlignment="1">
      <alignment vertical="center"/>
    </xf>
    <xf numFmtId="3" fontId="102" fillId="0" borderId="10" xfId="136" applyNumberFormat="1" applyFont="1" applyBorder="1" applyAlignment="1">
      <alignment vertical="center"/>
    </xf>
    <xf numFmtId="3" fontId="0" fillId="0" borderId="10" xfId="136" applyNumberFormat="1" applyFont="1" applyBorder="1" applyAlignment="1">
      <alignment vertical="center"/>
    </xf>
    <xf numFmtId="4" fontId="102" fillId="0" borderId="10" xfId="136" applyNumberFormat="1" applyFont="1" applyBorder="1" applyAlignment="1">
      <alignment vertical="center"/>
    </xf>
    <xf numFmtId="4" fontId="5" fillId="0" borderId="10" xfId="0" applyNumberFormat="1" applyFont="1" applyBorder="1" applyAlignment="1">
      <alignment vertical="center"/>
    </xf>
    <xf numFmtId="176" fontId="5" fillId="0" borderId="10" xfId="0" applyNumberFormat="1" applyFont="1" applyBorder="1" applyAlignment="1">
      <alignment vertical="center"/>
    </xf>
    <xf numFmtId="0" fontId="8" fillId="0" borderId="0" xfId="265" applyFont="1" applyAlignment="1">
      <alignment vertical="center"/>
      <protection/>
    </xf>
    <xf numFmtId="4" fontId="0" fillId="0" borderId="10" xfId="137" applyNumberFormat="1" applyFont="1" applyBorder="1" applyAlignment="1">
      <alignment vertical="center" wrapText="1"/>
    </xf>
    <xf numFmtId="4" fontId="0" fillId="0" borderId="10" xfId="0" applyNumberFormat="1" applyFont="1" applyBorder="1" applyAlignment="1">
      <alignment vertical="center"/>
    </xf>
    <xf numFmtId="0" fontId="4" fillId="0" borderId="10" xfId="0" applyFont="1" applyBorder="1" applyAlignment="1" quotePrefix="1">
      <alignment horizontal="center" vertical="center"/>
    </xf>
    <xf numFmtId="0" fontId="50" fillId="0" borderId="10" xfId="296" applyFont="1" applyBorder="1" applyAlignment="1">
      <alignment horizontal="center" vertical="center"/>
      <protection/>
    </xf>
    <xf numFmtId="0" fontId="0" fillId="0" borderId="10" xfId="296" applyFont="1" applyBorder="1" applyAlignment="1">
      <alignment horizontal="justify" vertical="center"/>
      <protection/>
    </xf>
    <xf numFmtId="0" fontId="50" fillId="0" borderId="10" xfId="0" applyFont="1" applyBorder="1" applyAlignment="1">
      <alignment horizontal="center" vertical="center" wrapText="1"/>
    </xf>
    <xf numFmtId="189" fontId="0" fillId="0" borderId="10" xfId="0" applyNumberFormat="1" applyFont="1" applyBorder="1" applyAlignment="1">
      <alignment vertical="center"/>
    </xf>
    <xf numFmtId="4" fontId="0" fillId="0" borderId="10" xfId="137" applyNumberFormat="1" applyFont="1" applyBorder="1" applyAlignment="1">
      <alignment vertical="center"/>
    </xf>
    <xf numFmtId="4" fontId="49" fillId="0" borderId="10" xfId="134" applyNumberFormat="1" applyFont="1" applyBorder="1" applyAlignment="1">
      <alignment vertical="center"/>
    </xf>
    <xf numFmtId="0" fontId="53" fillId="0" borderId="10" xfId="0" applyFont="1" applyBorder="1" applyAlignment="1">
      <alignment horizontal="center" vertical="center"/>
    </xf>
    <xf numFmtId="49" fontId="0" fillId="0" borderId="10" xfId="0" applyNumberFormat="1" applyFont="1" applyBorder="1" applyAlignment="1">
      <alignment vertical="center" wrapText="1"/>
    </xf>
    <xf numFmtId="0" fontId="50" fillId="0" borderId="10" xfId="0" applyFont="1" applyBorder="1" applyAlignment="1">
      <alignment horizontal="center" vertical="center"/>
    </xf>
    <xf numFmtId="179" fontId="5" fillId="0" borderId="10" xfId="157" applyNumberFormat="1" applyFont="1" applyBorder="1" applyAlignment="1">
      <alignment vertical="center" wrapText="1"/>
    </xf>
    <xf numFmtId="179" fontId="5" fillId="0" borderId="10" xfId="157" applyNumberFormat="1" applyFont="1" applyBorder="1" applyAlignment="1">
      <alignment vertical="center"/>
    </xf>
    <xf numFmtId="179" fontId="0" fillId="0" borderId="10" xfId="157" applyNumberFormat="1" applyFont="1" applyBorder="1" applyAlignment="1">
      <alignment vertical="center"/>
    </xf>
    <xf numFmtId="179" fontId="0" fillId="0" borderId="10" xfId="157" applyNumberFormat="1" applyFont="1" applyBorder="1" applyAlignment="1">
      <alignment vertical="center" wrapText="1"/>
    </xf>
    <xf numFmtId="179" fontId="0" fillId="0" borderId="10" xfId="157" applyNumberFormat="1" applyFont="1" applyBorder="1" applyAlignment="1">
      <alignment horizontal="center" vertical="center" wrapText="1"/>
    </xf>
    <xf numFmtId="179" fontId="0" fillId="0" borderId="10" xfId="95" applyNumberFormat="1" applyFont="1" applyBorder="1" applyAlignment="1">
      <alignment vertical="center"/>
    </xf>
    <xf numFmtId="179" fontId="54" fillId="0" borderId="10" xfId="95" applyNumberFormat="1" applyFont="1" applyBorder="1" applyAlignment="1">
      <alignment vertical="center"/>
    </xf>
    <xf numFmtId="49" fontId="11" fillId="0" borderId="0" xfId="93" applyNumberFormat="1" applyFont="1" applyFill="1" applyAlignment="1">
      <alignment vertical="center"/>
    </xf>
    <xf numFmtId="49" fontId="12" fillId="0" borderId="0" xfId="93" applyNumberFormat="1" applyFont="1" applyFill="1" applyAlignment="1">
      <alignment vertical="center"/>
    </xf>
    <xf numFmtId="49" fontId="12" fillId="0" borderId="0" xfId="93" applyNumberFormat="1" applyFont="1" applyFill="1" applyAlignment="1">
      <alignment horizontal="center" vertical="center"/>
    </xf>
    <xf numFmtId="0" fontId="11" fillId="0" borderId="10" xfId="0" applyFont="1" applyFill="1" applyBorder="1" applyAlignment="1">
      <alignment horizontal="center" vertical="center"/>
    </xf>
    <xf numFmtId="0" fontId="11" fillId="0" borderId="10" xfId="0" applyFont="1" applyFill="1" applyBorder="1" applyAlignment="1">
      <alignment horizontal="center" vertical="center" wrapText="1"/>
    </xf>
    <xf numFmtId="49" fontId="11" fillId="0" borderId="10" xfId="93" applyNumberFormat="1" applyFont="1" applyFill="1" applyBorder="1" applyAlignment="1">
      <alignment horizontal="center" vertical="center"/>
    </xf>
    <xf numFmtId="195" fontId="11" fillId="0" borderId="10" xfId="93" applyNumberFormat="1" applyFont="1" applyFill="1" applyBorder="1" applyAlignment="1">
      <alignment vertical="center"/>
    </xf>
    <xf numFmtId="195" fontId="57" fillId="0" borderId="10" xfId="93" applyNumberFormat="1" applyFont="1" applyFill="1" applyBorder="1" applyAlignment="1">
      <alignment vertical="center"/>
    </xf>
    <xf numFmtId="195" fontId="57" fillId="0" borderId="10" xfId="93" applyNumberFormat="1" applyFont="1" applyFill="1" applyBorder="1" applyAlignment="1">
      <alignment horizontal="center" vertical="center"/>
    </xf>
    <xf numFmtId="195" fontId="54" fillId="0" borderId="10" xfId="93" applyNumberFormat="1" applyFont="1" applyFill="1" applyBorder="1" applyAlignment="1">
      <alignment vertical="center"/>
    </xf>
    <xf numFmtId="3" fontId="57" fillId="0" borderId="10" xfId="93" applyNumberFormat="1" applyFont="1" applyFill="1" applyBorder="1" applyAlignment="1">
      <alignment vertical="center"/>
    </xf>
    <xf numFmtId="43" fontId="57" fillId="0" borderId="10" xfId="93" applyFont="1" applyFill="1" applyBorder="1" applyAlignment="1">
      <alignment vertical="center"/>
    </xf>
    <xf numFmtId="43" fontId="54" fillId="0" borderId="10" xfId="93" applyFont="1" applyFill="1" applyBorder="1" applyAlignment="1">
      <alignment vertical="center"/>
    </xf>
    <xf numFmtId="195" fontId="11" fillId="0" borderId="10" xfId="93" applyNumberFormat="1" applyFont="1" applyFill="1" applyBorder="1" applyAlignment="1">
      <alignment vertical="center" wrapText="1"/>
    </xf>
    <xf numFmtId="49" fontId="12" fillId="0" borderId="10" xfId="93" applyNumberFormat="1" applyFont="1" applyFill="1" applyBorder="1" applyAlignment="1">
      <alignment horizontal="center" vertical="center"/>
    </xf>
    <xf numFmtId="195" fontId="12" fillId="0" borderId="10" xfId="93" applyNumberFormat="1" applyFont="1" applyFill="1" applyBorder="1" applyAlignment="1">
      <alignment vertical="center"/>
    </xf>
    <xf numFmtId="179" fontId="12" fillId="0" borderId="10" xfId="93" applyNumberFormat="1" applyFont="1" applyFill="1" applyBorder="1" applyAlignment="1">
      <alignment/>
    </xf>
    <xf numFmtId="182" fontId="12" fillId="0" borderId="10" xfId="93" applyNumberFormat="1" applyFont="1" applyFill="1" applyBorder="1" applyAlignment="1">
      <alignment/>
    </xf>
    <xf numFmtId="195" fontId="12" fillId="0" borderId="10" xfId="93" applyNumberFormat="1" applyFont="1" applyFill="1" applyBorder="1" applyAlignment="1">
      <alignment horizontal="center" vertical="center"/>
    </xf>
    <xf numFmtId="171" fontId="12" fillId="0" borderId="10" xfId="93" applyNumberFormat="1" applyFont="1" applyFill="1" applyBorder="1" applyAlignment="1">
      <alignment/>
    </xf>
    <xf numFmtId="49" fontId="62" fillId="0" borderId="10" xfId="93" applyNumberFormat="1" applyFont="1" applyFill="1" applyBorder="1" applyAlignment="1">
      <alignment horizontal="center" vertical="center"/>
    </xf>
    <xf numFmtId="195" fontId="62" fillId="0" borderId="10" xfId="93" applyNumberFormat="1" applyFont="1" applyFill="1" applyBorder="1" applyAlignment="1">
      <alignment vertical="center"/>
    </xf>
    <xf numFmtId="0" fontId="12" fillId="0" borderId="10" xfId="0" applyFont="1" applyFill="1" applyBorder="1" applyAlignment="1">
      <alignment horizontal="center"/>
    </xf>
    <xf numFmtId="0" fontId="12" fillId="0" borderId="10" xfId="0" applyFont="1" applyFill="1" applyBorder="1" applyAlignment="1">
      <alignment/>
    </xf>
    <xf numFmtId="195" fontId="12" fillId="0" borderId="10" xfId="93" applyNumberFormat="1" applyFont="1" applyFill="1" applyBorder="1" applyAlignment="1">
      <alignment horizontal="justify" vertical="center" wrapText="1"/>
    </xf>
    <xf numFmtId="195" fontId="12" fillId="0" borderId="10" xfId="93" applyNumberFormat="1" applyFont="1" applyFill="1" applyBorder="1" applyAlignment="1">
      <alignment vertical="center" wrapText="1"/>
    </xf>
    <xf numFmtId="179" fontId="11" fillId="0" borderId="10" xfId="93" applyNumberFormat="1" applyFont="1" applyFill="1" applyBorder="1" applyAlignment="1">
      <alignment vertical="center"/>
    </xf>
    <xf numFmtId="179" fontId="12" fillId="0" borderId="10" xfId="93" applyNumberFormat="1" applyFont="1" applyFill="1" applyBorder="1" applyAlignment="1">
      <alignment vertical="center"/>
    </xf>
    <xf numFmtId="189" fontId="0" fillId="0" borderId="10" xfId="265" applyNumberFormat="1" applyFont="1" applyFill="1" applyBorder="1" applyAlignment="1">
      <alignment vertical="center"/>
      <protection/>
    </xf>
    <xf numFmtId="3" fontId="0" fillId="0" borderId="10" xfId="265" applyNumberFormat="1" applyFont="1" applyFill="1" applyBorder="1" applyAlignment="1">
      <alignment vertical="center"/>
      <protection/>
    </xf>
    <xf numFmtId="189" fontId="6" fillId="0" borderId="0" xfId="265" applyNumberFormat="1" applyFont="1" applyAlignment="1">
      <alignment vertical="center"/>
      <protection/>
    </xf>
    <xf numFmtId="171" fontId="12" fillId="0" borderId="10" xfId="93" applyNumberFormat="1" applyFont="1" applyFill="1" applyBorder="1" applyAlignment="1">
      <alignment vertical="center"/>
    </xf>
    <xf numFmtId="4" fontId="2" fillId="0" borderId="0" xfId="265" applyNumberFormat="1" applyFont="1" applyAlignment="1">
      <alignment vertical="center"/>
      <protection/>
    </xf>
    <xf numFmtId="0" fontId="5" fillId="0" borderId="10" xfId="0" applyFont="1" applyFill="1" applyBorder="1" applyAlignment="1">
      <alignment horizontal="center" vertical="center"/>
    </xf>
    <xf numFmtId="0" fontId="5" fillId="0" borderId="10" xfId="0" applyFont="1" applyFill="1" applyBorder="1" applyAlignment="1">
      <alignment vertical="center" wrapText="1"/>
    </xf>
    <xf numFmtId="4" fontId="5" fillId="0" borderId="10" xfId="93" applyNumberFormat="1" applyFont="1" applyFill="1" applyBorder="1" applyAlignment="1">
      <alignment horizontal="right" vertical="center" wrapText="1"/>
    </xf>
    <xf numFmtId="4" fontId="5" fillId="0" borderId="10" xfId="134" applyNumberFormat="1" applyFont="1" applyFill="1" applyBorder="1" applyAlignment="1">
      <alignment horizontal="right" vertical="center" wrapText="1"/>
    </xf>
    <xf numFmtId="0" fontId="5" fillId="0" borderId="0" xfId="0" applyFont="1" applyFill="1" applyAlignment="1">
      <alignment vertical="center"/>
    </xf>
    <xf numFmtId="43" fontId="5" fillId="0" borderId="0" xfId="0" applyNumberFormat="1" applyFont="1" applyFill="1" applyAlignment="1">
      <alignment vertical="center"/>
    </xf>
    <xf numFmtId="0" fontId="0" fillId="0" borderId="10" xfId="0" applyFont="1" applyFill="1" applyBorder="1" applyAlignment="1">
      <alignment horizontal="center" vertical="center"/>
    </xf>
    <xf numFmtId="0" fontId="4" fillId="0" borderId="10" xfId="0" applyFont="1" applyFill="1" applyBorder="1" applyAlignment="1">
      <alignment vertical="center" wrapText="1"/>
    </xf>
    <xf numFmtId="4" fontId="0" fillId="0" borderId="10" xfId="93" applyNumberFormat="1" applyFont="1" applyFill="1" applyBorder="1" applyAlignment="1">
      <alignment horizontal="right" vertical="center" wrapText="1"/>
    </xf>
    <xf numFmtId="4" fontId="0" fillId="0" borderId="10" xfId="0" applyNumberFormat="1" applyFont="1" applyFill="1" applyBorder="1" applyAlignment="1">
      <alignment horizontal="right" vertical="center"/>
    </xf>
    <xf numFmtId="0" fontId="0" fillId="0" borderId="0" xfId="0" applyFont="1" applyFill="1" applyAlignment="1">
      <alignment vertical="center"/>
    </xf>
    <xf numFmtId="0" fontId="0" fillId="0" borderId="10" xfId="0" applyFont="1" applyFill="1" applyBorder="1" applyAlignment="1">
      <alignment vertical="center" wrapText="1"/>
    </xf>
    <xf numFmtId="4" fontId="0" fillId="0" borderId="10" xfId="134" applyNumberFormat="1" applyFont="1" applyFill="1" applyBorder="1" applyAlignment="1">
      <alignment horizontal="right" vertical="center" wrapText="1"/>
    </xf>
    <xf numFmtId="4" fontId="0" fillId="0" borderId="10" xfId="93" applyNumberFormat="1" applyFont="1" applyFill="1" applyBorder="1" applyAlignment="1">
      <alignment horizontal="right" vertical="center"/>
    </xf>
    <xf numFmtId="43" fontId="0" fillId="0" borderId="0" xfId="0" applyNumberFormat="1" applyFont="1" applyFill="1" applyAlignment="1">
      <alignment vertical="center"/>
    </xf>
    <xf numFmtId="176" fontId="0" fillId="0" borderId="10" xfId="93" applyNumberFormat="1" applyFont="1" applyFill="1" applyBorder="1" applyAlignment="1">
      <alignment horizontal="right" vertical="center"/>
    </xf>
    <xf numFmtId="4" fontId="0" fillId="0" borderId="0" xfId="0" applyNumberFormat="1" applyFont="1" applyFill="1" applyAlignment="1">
      <alignment vertical="center"/>
    </xf>
    <xf numFmtId="0" fontId="0" fillId="0" borderId="10" xfId="0" applyFont="1" applyFill="1" applyBorder="1" applyAlignment="1" quotePrefix="1">
      <alignment horizontal="center" vertical="center"/>
    </xf>
    <xf numFmtId="4" fontId="0" fillId="0" borderId="10" xfId="91" applyNumberFormat="1" applyFont="1" applyFill="1" applyBorder="1" applyAlignment="1">
      <alignment horizontal="right" vertical="center"/>
    </xf>
    <xf numFmtId="4" fontId="5" fillId="0" borderId="10" xfId="93" applyNumberFormat="1" applyFont="1" applyFill="1" applyBorder="1" applyAlignment="1">
      <alignment horizontal="right" vertical="center"/>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4" fillId="0" borderId="10" xfId="0" applyFont="1" applyFill="1" applyBorder="1" applyAlignment="1">
      <alignment horizontal="center" vertical="center"/>
    </xf>
    <xf numFmtId="0" fontId="4" fillId="0" borderId="10" xfId="0" applyFont="1" applyFill="1" applyBorder="1" applyAlignment="1" quotePrefix="1">
      <alignment vertical="center" wrapText="1"/>
    </xf>
    <xf numFmtId="4" fontId="4" fillId="0" borderId="10" xfId="93" applyNumberFormat="1" applyFont="1" applyFill="1" applyBorder="1" applyAlignment="1">
      <alignment horizontal="right" vertical="center" wrapText="1"/>
    </xf>
    <xf numFmtId="4" fontId="4" fillId="0" borderId="10" xfId="134" applyNumberFormat="1" applyFont="1" applyFill="1" applyBorder="1" applyAlignment="1">
      <alignment horizontal="right" vertical="center" wrapText="1"/>
    </xf>
    <xf numFmtId="4" fontId="4" fillId="0" borderId="10" xfId="91" applyNumberFormat="1" applyFont="1" applyFill="1" applyBorder="1" applyAlignment="1">
      <alignment horizontal="right" vertical="center" wrapText="1"/>
    </xf>
    <xf numFmtId="4" fontId="4" fillId="0" borderId="10" xfId="0" applyNumberFormat="1" applyFont="1" applyFill="1" applyBorder="1" applyAlignment="1">
      <alignment horizontal="right" vertical="center"/>
    </xf>
    <xf numFmtId="43" fontId="4" fillId="0" borderId="0" xfId="0" applyNumberFormat="1" applyFont="1" applyFill="1" applyAlignment="1">
      <alignment vertical="center"/>
    </xf>
    <xf numFmtId="0" fontId="4" fillId="0" borderId="0" xfId="0" applyFont="1" applyFill="1" applyAlignment="1">
      <alignment vertical="center"/>
    </xf>
    <xf numFmtId="4" fontId="4" fillId="0" borderId="0" xfId="0" applyNumberFormat="1" applyFont="1" applyFill="1" applyAlignment="1">
      <alignment vertical="center"/>
    </xf>
    <xf numFmtId="4" fontId="4" fillId="0" borderId="10" xfId="93" applyNumberFormat="1" applyFont="1" applyBorder="1" applyAlignment="1">
      <alignment horizontal="right" vertical="center"/>
    </xf>
    <xf numFmtId="4" fontId="5" fillId="0" borderId="0" xfId="0" applyNumberFormat="1" applyFont="1" applyFill="1" applyAlignment="1">
      <alignment vertical="center"/>
    </xf>
    <xf numFmtId="43" fontId="4" fillId="0" borderId="0" xfId="0" applyNumberFormat="1" applyFont="1" applyAlignment="1">
      <alignment vertical="center"/>
    </xf>
    <xf numFmtId="4" fontId="5" fillId="0" borderId="10" xfId="265" applyNumberFormat="1" applyFont="1" applyFill="1" applyBorder="1" applyAlignment="1">
      <alignment vertical="center"/>
      <protection/>
    </xf>
    <xf numFmtId="0" fontId="3" fillId="0" borderId="1" xfId="195" applyFont="1" applyFill="1" applyBorder="1" applyAlignment="1">
      <alignment horizontal="center" vertical="center" wrapText="1"/>
      <protection/>
    </xf>
    <xf numFmtId="182" fontId="12" fillId="0" borderId="10" xfId="93" applyNumberFormat="1" applyFont="1" applyFill="1" applyBorder="1" applyAlignment="1">
      <alignment horizontal="right" vertical="center" wrapText="1"/>
    </xf>
    <xf numFmtId="179" fontId="12" fillId="0" borderId="10" xfId="93" applyNumberFormat="1" applyFont="1" applyFill="1" applyBorder="1" applyAlignment="1">
      <alignment horizontal="right" vertical="center" wrapText="1"/>
    </xf>
    <xf numFmtId="3" fontId="11" fillId="0" borderId="28" xfId="95" applyNumberFormat="1" applyFont="1" applyFill="1" applyBorder="1" applyAlignment="1" applyProtection="1">
      <alignment horizontal="right" vertical="center" wrapText="1"/>
      <protection/>
    </xf>
    <xf numFmtId="182" fontId="12" fillId="0" borderId="10" xfId="93" applyNumberFormat="1" applyFont="1" applyFill="1" applyBorder="1" applyAlignment="1">
      <alignment horizontal="right" wrapText="1"/>
    </xf>
    <xf numFmtId="221" fontId="12" fillId="0" borderId="28" xfId="118" applyNumberFormat="1" applyFont="1" applyFill="1" applyBorder="1" applyAlignment="1" applyProtection="1">
      <alignment horizontal="right" vertical="center" wrapText="1"/>
      <protection/>
    </xf>
    <xf numFmtId="1" fontId="12" fillId="0" borderId="10" xfId="291" applyNumberFormat="1" applyFont="1" applyFill="1" applyBorder="1" applyAlignment="1">
      <alignment horizontal="right" vertical="center" wrapText="1"/>
      <protection/>
    </xf>
    <xf numFmtId="1" fontId="11" fillId="0" borderId="10" xfId="291" applyNumberFormat="1" applyFont="1" applyFill="1" applyBorder="1" applyAlignment="1">
      <alignment horizontal="right" vertical="center" wrapText="1"/>
      <protection/>
    </xf>
    <xf numFmtId="49" fontId="11" fillId="0" borderId="0" xfId="291" applyNumberFormat="1" applyFont="1" applyFill="1" applyAlignment="1" quotePrefix="1">
      <alignment horizontal="right" vertical="center" wrapText="1"/>
      <protection/>
    </xf>
    <xf numFmtId="198" fontId="0" fillId="0" borderId="0" xfId="195" applyNumberFormat="1" applyFont="1" applyFill="1">
      <alignment/>
      <protection/>
    </xf>
    <xf numFmtId="193" fontId="0" fillId="0" borderId="0" xfId="195" applyNumberFormat="1" applyFont="1" applyFill="1">
      <alignment/>
      <protection/>
    </xf>
    <xf numFmtId="0" fontId="0" fillId="0" borderId="0" xfId="195" applyFont="1" applyFill="1">
      <alignment/>
      <protection/>
    </xf>
    <xf numFmtId="0" fontId="53" fillId="0" borderId="10" xfId="195" applyFont="1" applyBorder="1" applyAlignment="1">
      <alignment horizontal="center" vertical="center" wrapText="1"/>
      <protection/>
    </xf>
    <xf numFmtId="0" fontId="53" fillId="0" borderId="10" xfId="195" applyFont="1" applyBorder="1" applyAlignment="1">
      <alignment horizontal="center" vertical="center"/>
      <protection/>
    </xf>
    <xf numFmtId="3" fontId="12" fillId="0" borderId="10" xfId="195" applyNumberFormat="1" applyFont="1" applyFill="1" applyBorder="1" applyAlignment="1">
      <alignment horizontal="right" vertical="center"/>
      <protection/>
    </xf>
    <xf numFmtId="176" fontId="51" fillId="0" borderId="10" xfId="195" applyNumberFormat="1" applyFont="1" applyFill="1" applyBorder="1" applyAlignment="1">
      <alignment horizontal="right" vertical="center"/>
      <protection/>
    </xf>
    <xf numFmtId="182" fontId="12" fillId="0" borderId="10" xfId="143" applyNumberFormat="1" applyFont="1" applyFill="1" applyBorder="1" applyAlignment="1" quotePrefix="1">
      <alignment horizontal="right" vertical="center"/>
    </xf>
    <xf numFmtId="4" fontId="51" fillId="0" borderId="10" xfId="195" applyNumberFormat="1" applyFont="1" applyFill="1" applyBorder="1" applyAlignment="1">
      <alignment horizontal="right" vertical="center"/>
      <protection/>
    </xf>
    <xf numFmtId="2" fontId="51" fillId="0" borderId="10" xfId="195" applyNumberFormat="1" applyFont="1" applyFill="1" applyBorder="1" applyAlignment="1">
      <alignment horizontal="right" vertical="center"/>
      <protection/>
    </xf>
    <xf numFmtId="4" fontId="12" fillId="0" borderId="10" xfId="195" applyNumberFormat="1" applyFont="1" applyFill="1" applyBorder="1" applyAlignment="1">
      <alignment horizontal="right" vertical="center"/>
      <protection/>
    </xf>
    <xf numFmtId="3" fontId="12" fillId="0" borderId="16" xfId="206" applyNumberFormat="1" applyFont="1" applyFill="1" applyBorder="1" applyAlignment="1">
      <alignment horizontal="right" vertical="center" wrapText="1"/>
      <protection/>
    </xf>
    <xf numFmtId="199" fontId="11" fillId="0" borderId="10" xfId="206" applyNumberFormat="1" applyFont="1" applyFill="1" applyBorder="1" applyAlignment="1">
      <alignment horizontal="right" vertical="center"/>
      <protection/>
    </xf>
    <xf numFmtId="3" fontId="11" fillId="0" borderId="10" xfId="206" applyNumberFormat="1" applyFont="1" applyFill="1" applyBorder="1" applyAlignment="1">
      <alignment horizontal="right" vertical="center"/>
      <protection/>
    </xf>
    <xf numFmtId="0" fontId="12" fillId="0" borderId="0" xfId="195" applyFont="1" applyFill="1" applyAlignment="1">
      <alignment vertical="center"/>
      <protection/>
    </xf>
    <xf numFmtId="0" fontId="12" fillId="0" borderId="0" xfId="195" applyFont="1" applyFill="1">
      <alignment/>
      <protection/>
    </xf>
    <xf numFmtId="0" fontId="59" fillId="0" borderId="10" xfId="195" applyFont="1" applyFill="1" applyBorder="1" applyAlignment="1">
      <alignment horizontal="center" vertical="center"/>
      <protection/>
    </xf>
    <xf numFmtId="4" fontId="59" fillId="0" borderId="10" xfId="195" applyNumberFormat="1" applyFont="1" applyFill="1" applyBorder="1" applyAlignment="1">
      <alignment horizontal="right" vertical="center"/>
      <protection/>
    </xf>
    <xf numFmtId="0" fontId="60" fillId="0" borderId="0" xfId="195" applyFont="1" applyFill="1" applyAlignment="1">
      <alignment vertical="center"/>
      <protection/>
    </xf>
    <xf numFmtId="0" fontId="12" fillId="0" borderId="10" xfId="195" applyFont="1" applyFill="1" applyBorder="1" applyAlignment="1">
      <alignment horizontal="left" vertical="center"/>
      <protection/>
    </xf>
    <xf numFmtId="3" fontId="12" fillId="0" borderId="0" xfId="195" applyNumberFormat="1" applyFont="1" applyFill="1" applyAlignment="1">
      <alignment vertical="center"/>
      <protection/>
    </xf>
    <xf numFmtId="2" fontId="12" fillId="0" borderId="0" xfId="195" applyNumberFormat="1" applyFont="1" applyFill="1" applyAlignment="1">
      <alignment vertical="center"/>
      <protection/>
    </xf>
    <xf numFmtId="0" fontId="11" fillId="0" borderId="10" xfId="195" applyFont="1" applyFill="1" applyBorder="1" applyAlignment="1">
      <alignment horizontal="center" vertical="center"/>
      <protection/>
    </xf>
    <xf numFmtId="0" fontId="11" fillId="0" borderId="10" xfId="195" applyFont="1" applyFill="1" applyBorder="1" applyAlignment="1">
      <alignment horizontal="left" vertical="center"/>
      <protection/>
    </xf>
    <xf numFmtId="3" fontId="11" fillId="0" borderId="10" xfId="195" applyNumberFormat="1" applyFont="1" applyFill="1" applyBorder="1" applyAlignment="1">
      <alignment vertical="center"/>
      <protection/>
    </xf>
    <xf numFmtId="3" fontId="11" fillId="0" borderId="10" xfId="195" applyNumberFormat="1" applyFont="1" applyFill="1" applyBorder="1" applyAlignment="1">
      <alignment horizontal="right" vertical="center"/>
      <protection/>
    </xf>
    <xf numFmtId="0" fontId="51" fillId="0" borderId="10" xfId="195" applyFont="1" applyFill="1" applyBorder="1" applyAlignment="1">
      <alignment horizontal="right" vertical="center"/>
      <protection/>
    </xf>
    <xf numFmtId="0" fontId="11" fillId="0" borderId="0" xfId="195" applyFont="1" applyFill="1" applyAlignment="1">
      <alignment vertical="center"/>
      <protection/>
    </xf>
    <xf numFmtId="0" fontId="51" fillId="0" borderId="10" xfId="195" applyFont="1" applyFill="1" applyBorder="1" applyAlignment="1">
      <alignment horizontal="center" vertical="center"/>
      <protection/>
    </xf>
    <xf numFmtId="0" fontId="51" fillId="0" borderId="10" xfId="195" applyFont="1" applyFill="1" applyBorder="1" applyAlignment="1">
      <alignment horizontal="left" vertical="center"/>
      <protection/>
    </xf>
    <xf numFmtId="0" fontId="51" fillId="0" borderId="0" xfId="195" applyFont="1" applyFill="1" applyAlignment="1">
      <alignment vertical="center"/>
      <protection/>
    </xf>
    <xf numFmtId="2" fontId="12" fillId="0" borderId="10" xfId="195" applyNumberFormat="1" applyFont="1" applyFill="1" applyBorder="1" applyAlignment="1">
      <alignment horizontal="left" vertical="center" wrapText="1"/>
      <protection/>
    </xf>
    <xf numFmtId="2" fontId="51" fillId="0" borderId="10" xfId="195" applyNumberFormat="1" applyFont="1" applyFill="1" applyBorder="1" applyAlignment="1">
      <alignment horizontal="left" vertical="center" wrapText="1"/>
      <protection/>
    </xf>
    <xf numFmtId="3" fontId="51" fillId="0" borderId="10" xfId="195" applyNumberFormat="1" applyFont="1" applyFill="1" applyBorder="1" applyAlignment="1">
      <alignment horizontal="right" vertical="center"/>
      <protection/>
    </xf>
    <xf numFmtId="0" fontId="51" fillId="0" borderId="10" xfId="195" applyFont="1" applyFill="1" applyBorder="1" applyAlignment="1">
      <alignment horizontal="left" vertical="center" wrapText="1"/>
      <protection/>
    </xf>
    <xf numFmtId="171" fontId="12" fillId="0" borderId="10" xfId="143" applyFont="1" applyFill="1" applyBorder="1" applyAlignment="1" quotePrefix="1">
      <alignment horizontal="right" vertical="center"/>
    </xf>
    <xf numFmtId="176" fontId="12" fillId="0" borderId="10" xfId="195" applyNumberFormat="1" applyFont="1" applyFill="1" applyBorder="1" applyAlignment="1">
      <alignment horizontal="right" vertical="center"/>
      <protection/>
    </xf>
    <xf numFmtId="182" fontId="51" fillId="0" borderId="10" xfId="143" applyNumberFormat="1" applyFont="1" applyFill="1" applyBorder="1" applyAlignment="1" quotePrefix="1">
      <alignment horizontal="right" vertical="center"/>
    </xf>
    <xf numFmtId="0" fontId="51" fillId="0" borderId="10" xfId="195" applyFont="1" applyFill="1" applyBorder="1" applyAlignment="1">
      <alignment vertical="center"/>
      <protection/>
    </xf>
    <xf numFmtId="2" fontId="11" fillId="0" borderId="10" xfId="195" applyNumberFormat="1" applyFont="1" applyFill="1" applyBorder="1" applyAlignment="1">
      <alignment horizontal="left" vertical="center" wrapText="1"/>
      <protection/>
    </xf>
    <xf numFmtId="2" fontId="11" fillId="0" borderId="10" xfId="195" applyNumberFormat="1" applyFont="1" applyFill="1" applyBorder="1" applyAlignment="1">
      <alignment horizontal="right" vertical="center"/>
      <protection/>
    </xf>
    <xf numFmtId="3" fontId="12" fillId="0" borderId="10" xfId="206" applyNumberFormat="1" applyFont="1" applyFill="1" applyBorder="1" applyAlignment="1">
      <alignment horizontal="right" vertical="center" wrapText="1"/>
      <protection/>
    </xf>
    <xf numFmtId="1" fontId="51" fillId="0" borderId="10" xfId="195" applyNumberFormat="1" applyFont="1" applyFill="1" applyBorder="1" applyAlignment="1">
      <alignment horizontal="right" vertical="center"/>
      <protection/>
    </xf>
    <xf numFmtId="49" fontId="12" fillId="0" borderId="10" xfId="195" applyNumberFormat="1" applyFont="1" applyFill="1" applyBorder="1" applyAlignment="1">
      <alignment horizontal="right" vertical="center"/>
      <protection/>
    </xf>
    <xf numFmtId="2" fontId="11" fillId="0" borderId="10" xfId="293" applyNumberFormat="1" applyFont="1" applyFill="1" applyBorder="1" applyAlignment="1">
      <alignment horizontal="right" vertical="center" wrapText="1"/>
      <protection/>
    </xf>
    <xf numFmtId="0" fontId="12" fillId="0" borderId="0" xfId="195" applyFont="1" applyFill="1" applyAlignment="1">
      <alignment horizontal="right" vertical="center"/>
      <protection/>
    </xf>
    <xf numFmtId="176" fontId="12" fillId="0" borderId="0" xfId="195" applyNumberFormat="1" applyFont="1" applyFill="1" applyAlignment="1">
      <alignment vertical="center"/>
      <protection/>
    </xf>
    <xf numFmtId="2" fontId="12" fillId="0" borderId="10" xfId="195" applyNumberFormat="1" applyFont="1" applyFill="1" applyBorder="1" applyAlignment="1">
      <alignment horizontal="right" vertical="center"/>
      <protection/>
    </xf>
    <xf numFmtId="0" fontId="11" fillId="0" borderId="16" xfId="195" applyFont="1" applyFill="1" applyBorder="1" applyAlignment="1">
      <alignment horizontal="center" vertical="center"/>
      <protection/>
    </xf>
    <xf numFmtId="182" fontId="51" fillId="0" borderId="10" xfId="195" applyNumberFormat="1" applyFont="1" applyFill="1" applyBorder="1" applyAlignment="1">
      <alignment horizontal="right" vertical="center"/>
      <protection/>
    </xf>
    <xf numFmtId="182" fontId="12" fillId="0" borderId="10" xfId="158" applyNumberFormat="1" applyFont="1" applyFill="1" applyBorder="1" applyAlignment="1">
      <alignment horizontal="right" vertical="center" wrapText="1"/>
    </xf>
    <xf numFmtId="4" fontId="51" fillId="0" borderId="10" xfId="195" applyNumberFormat="1" applyFont="1" applyFill="1" applyBorder="1" applyAlignment="1">
      <alignment horizontal="center" vertical="center"/>
      <protection/>
    </xf>
    <xf numFmtId="4" fontId="51" fillId="0" borderId="10" xfId="206" applyNumberFormat="1" applyFont="1" applyFill="1" applyBorder="1" applyAlignment="1">
      <alignment horizontal="right" vertical="center"/>
      <protection/>
    </xf>
    <xf numFmtId="0" fontId="51" fillId="0" borderId="0" xfId="195" applyFont="1" applyFill="1">
      <alignment/>
      <protection/>
    </xf>
    <xf numFmtId="2" fontId="51" fillId="0" borderId="0" xfId="195" applyNumberFormat="1" applyFont="1" applyFill="1">
      <alignment/>
      <protection/>
    </xf>
    <xf numFmtId="190" fontId="51" fillId="0" borderId="0" xfId="195" applyNumberFormat="1" applyFont="1" applyFill="1">
      <alignment/>
      <protection/>
    </xf>
    <xf numFmtId="4" fontId="12" fillId="0" borderId="10" xfId="195" applyNumberFormat="1" applyFont="1" applyFill="1" applyBorder="1" applyAlignment="1">
      <alignment horizontal="center" vertical="center"/>
      <protection/>
    </xf>
    <xf numFmtId="2" fontId="12" fillId="0" borderId="0" xfId="195" applyNumberFormat="1" applyFont="1" applyFill="1">
      <alignment/>
      <protection/>
    </xf>
    <xf numFmtId="190" fontId="12" fillId="0" borderId="0" xfId="195" applyNumberFormat="1" applyFont="1" applyFill="1">
      <alignment/>
      <protection/>
    </xf>
    <xf numFmtId="3" fontId="51" fillId="0" borderId="0" xfId="195" applyNumberFormat="1" applyFont="1" applyFill="1" applyAlignment="1">
      <alignment vertical="center"/>
      <protection/>
    </xf>
    <xf numFmtId="37" fontId="11" fillId="0" borderId="0" xfId="206" applyNumberFormat="1" applyFont="1" applyFill="1" applyAlignment="1">
      <alignment horizontal="right" vertical="center"/>
      <protection/>
    </xf>
    <xf numFmtId="4" fontId="11" fillId="0" borderId="10" xfId="195" applyNumberFormat="1" applyFont="1" applyFill="1" applyBorder="1" applyAlignment="1">
      <alignment horizontal="center" vertical="center"/>
      <protection/>
    </xf>
    <xf numFmtId="3" fontId="11" fillId="0" borderId="0" xfId="195" applyNumberFormat="1" applyFont="1" applyFill="1" applyAlignment="1">
      <alignment vertical="center"/>
      <protection/>
    </xf>
    <xf numFmtId="3" fontId="11" fillId="0" borderId="0" xfId="206" applyNumberFormat="1" applyFont="1" applyFill="1" applyAlignment="1">
      <alignment horizontal="right" vertical="center"/>
      <protection/>
    </xf>
    <xf numFmtId="2" fontId="51" fillId="0" borderId="10" xfId="206" applyNumberFormat="1" applyFont="1" applyFill="1" applyBorder="1" applyAlignment="1">
      <alignment horizontal="right" vertical="center"/>
      <protection/>
    </xf>
    <xf numFmtId="3" fontId="51" fillId="0" borderId="0" xfId="206" applyNumberFormat="1" applyFont="1" applyFill="1" applyAlignment="1">
      <alignment horizontal="right" vertical="center"/>
      <protection/>
    </xf>
    <xf numFmtId="2" fontId="62" fillId="0" borderId="10" xfId="206" applyNumberFormat="1" applyFont="1" applyFill="1" applyBorder="1" applyAlignment="1">
      <alignment horizontal="right" vertical="center"/>
      <protection/>
    </xf>
    <xf numFmtId="2" fontId="11" fillId="0" borderId="10" xfId="206" applyNumberFormat="1" applyFont="1" applyFill="1" applyBorder="1" applyAlignment="1">
      <alignment horizontal="right" vertical="center"/>
      <protection/>
    </xf>
    <xf numFmtId="0" fontId="62" fillId="0" borderId="0" xfId="195" applyFont="1" applyFill="1" applyAlignment="1">
      <alignment vertical="center"/>
      <protection/>
    </xf>
    <xf numFmtId="3" fontId="12" fillId="0" borderId="0" xfId="206" applyNumberFormat="1" applyFont="1" applyFill="1" applyAlignment="1">
      <alignment horizontal="right" vertical="center"/>
      <protection/>
    </xf>
    <xf numFmtId="176" fontId="51" fillId="0" borderId="10" xfId="206" applyNumberFormat="1" applyFont="1" applyFill="1" applyBorder="1" applyAlignment="1">
      <alignment horizontal="right" vertical="center"/>
      <protection/>
    </xf>
    <xf numFmtId="4" fontId="0" fillId="0" borderId="10" xfId="195" applyNumberFormat="1" applyFont="1" applyBorder="1" applyAlignment="1">
      <alignment horizontal="right" vertical="center"/>
      <protection/>
    </xf>
    <xf numFmtId="4" fontId="0" fillId="0" borderId="10" xfId="158" applyNumberFormat="1" applyFont="1" applyBorder="1" applyAlignment="1">
      <alignment horizontal="right" vertical="center" wrapText="1"/>
    </xf>
    <xf numFmtId="3" fontId="0" fillId="34" borderId="10" xfId="195" applyNumberFormat="1" applyFont="1" applyFill="1" applyBorder="1" applyAlignment="1">
      <alignment vertical="center"/>
      <protection/>
    </xf>
    <xf numFmtId="3" fontId="50" fillId="0" borderId="10" xfId="195" applyNumberFormat="1" applyFont="1" applyBorder="1" applyAlignment="1">
      <alignment horizontal="right" vertical="center" wrapText="1"/>
      <protection/>
    </xf>
    <xf numFmtId="3" fontId="53" fillId="0" borderId="10" xfId="195" applyNumberFormat="1" applyFont="1" applyBorder="1" applyAlignment="1">
      <alignment horizontal="right" vertical="center"/>
      <protection/>
    </xf>
    <xf numFmtId="3" fontId="53" fillId="0" borderId="10" xfId="195" applyNumberFormat="1" applyFont="1" applyBorder="1" applyAlignment="1">
      <alignment horizontal="right" vertical="center" wrapText="1"/>
      <protection/>
    </xf>
    <xf numFmtId="3" fontId="58" fillId="0" borderId="10" xfId="195" applyNumberFormat="1" applyFont="1" applyBorder="1" applyAlignment="1">
      <alignment horizontal="right" vertical="center" wrapText="1"/>
      <protection/>
    </xf>
    <xf numFmtId="3" fontId="71" fillId="0" borderId="10" xfId="195" applyNumberFormat="1" applyFont="1" applyBorder="1" applyAlignment="1">
      <alignment horizontal="right" vertical="center" wrapText="1"/>
      <protection/>
    </xf>
    <xf numFmtId="176" fontId="53" fillId="0" borderId="10" xfId="195" applyNumberFormat="1" applyFont="1" applyFill="1" applyBorder="1" applyAlignment="1">
      <alignment horizontal="right" vertical="center"/>
      <protection/>
    </xf>
    <xf numFmtId="0" fontId="50" fillId="0" borderId="10" xfId="195" applyFont="1" applyBorder="1" applyAlignment="1">
      <alignment horizontal="right" vertical="center" wrapText="1"/>
      <protection/>
    </xf>
    <xf numFmtId="1" fontId="50" fillId="0" borderId="10" xfId="195" applyNumberFormat="1" applyFont="1" applyBorder="1" applyAlignment="1">
      <alignment horizontal="right" vertical="center" wrapText="1"/>
      <protection/>
    </xf>
    <xf numFmtId="0" fontId="50" fillId="0" borderId="10" xfId="195" applyFont="1" applyBorder="1" applyAlignment="1" quotePrefix="1">
      <alignment horizontal="right" vertical="center" wrapText="1"/>
      <protection/>
    </xf>
    <xf numFmtId="0" fontId="71" fillId="0" borderId="10" xfId="195" applyFont="1" applyBorder="1" applyAlignment="1" quotePrefix="1">
      <alignment horizontal="right" vertical="center" wrapText="1"/>
      <protection/>
    </xf>
    <xf numFmtId="176" fontId="71" fillId="0" borderId="10" xfId="195" applyNumberFormat="1" applyFont="1" applyFill="1" applyBorder="1" applyAlignment="1">
      <alignment horizontal="right" vertical="center"/>
      <protection/>
    </xf>
    <xf numFmtId="0" fontId="71" fillId="0" borderId="10" xfId="195" applyFont="1" applyBorder="1" applyAlignment="1">
      <alignment horizontal="right" vertical="center"/>
      <protection/>
    </xf>
    <xf numFmtId="0" fontId="53" fillId="0" borderId="10" xfId="293" applyFont="1" applyFill="1" applyBorder="1" applyAlignment="1">
      <alignment horizontal="left" vertical="center" wrapText="1"/>
      <protection/>
    </xf>
    <xf numFmtId="3" fontId="53" fillId="0" borderId="10" xfId="195" applyNumberFormat="1" applyFont="1" applyFill="1" applyBorder="1" applyAlignment="1">
      <alignment horizontal="right" vertical="center"/>
      <protection/>
    </xf>
    <xf numFmtId="0" fontId="71" fillId="0" borderId="10" xfId="293" applyFont="1" applyFill="1" applyBorder="1" applyAlignment="1">
      <alignment horizontal="left" vertical="center" wrapText="1"/>
      <protection/>
    </xf>
    <xf numFmtId="0" fontId="58" fillId="0" borderId="10" xfId="293" applyFont="1" applyFill="1" applyBorder="1" applyAlignment="1">
      <alignment horizontal="left" vertical="center" wrapText="1"/>
      <protection/>
    </xf>
    <xf numFmtId="182" fontId="58" fillId="0" borderId="10" xfId="0" applyNumberFormat="1" applyFont="1" applyFill="1" applyBorder="1" applyAlignment="1">
      <alignment horizontal="right" vertical="center"/>
    </xf>
    <xf numFmtId="0" fontId="50" fillId="0" borderId="10" xfId="293" applyFont="1" applyFill="1" applyBorder="1" applyAlignment="1">
      <alignment horizontal="left" vertical="center" wrapText="1"/>
      <protection/>
    </xf>
    <xf numFmtId="3" fontId="71" fillId="0" borderId="10" xfId="195" applyNumberFormat="1" applyFont="1" applyFill="1" applyBorder="1" applyAlignment="1">
      <alignment horizontal="right" vertical="center"/>
      <protection/>
    </xf>
    <xf numFmtId="182" fontId="50" fillId="0" borderId="10" xfId="120" applyNumberFormat="1" applyFont="1" applyFill="1" applyBorder="1" applyAlignment="1">
      <alignment horizontal="right" vertical="center"/>
    </xf>
    <xf numFmtId="182" fontId="50" fillId="0" borderId="10" xfId="120" applyNumberFormat="1" applyFont="1" applyBorder="1" applyAlignment="1">
      <alignment horizontal="right" vertical="center"/>
    </xf>
    <xf numFmtId="0" fontId="50" fillId="0" borderId="10" xfId="293" applyFont="1" applyFill="1" applyBorder="1" applyAlignment="1" quotePrefix="1">
      <alignment horizontal="left" vertical="center" wrapText="1"/>
      <protection/>
    </xf>
    <xf numFmtId="182" fontId="50" fillId="34" borderId="10" xfId="120" applyNumberFormat="1" applyFont="1" applyFill="1" applyBorder="1" applyAlignment="1">
      <alignment horizontal="right" vertical="center"/>
    </xf>
    <xf numFmtId="182" fontId="53" fillId="34" borderId="10" xfId="120" applyNumberFormat="1" applyFont="1" applyFill="1" applyBorder="1" applyAlignment="1">
      <alignment horizontal="right" vertical="center"/>
    </xf>
    <xf numFmtId="205" fontId="53" fillId="34" borderId="10" xfId="293" applyNumberFormat="1" applyFont="1" applyFill="1" applyBorder="1" applyAlignment="1">
      <alignment horizontal="right"/>
      <protection/>
    </xf>
    <xf numFmtId="182" fontId="71" fillId="34" borderId="10" xfId="120" applyNumberFormat="1" applyFont="1" applyFill="1" applyBorder="1" applyAlignment="1">
      <alignment horizontal="right" vertical="center"/>
    </xf>
    <xf numFmtId="205" fontId="71" fillId="34" borderId="10" xfId="293" applyNumberFormat="1" applyFont="1" applyFill="1" applyBorder="1" applyAlignment="1">
      <alignment horizontal="right"/>
      <protection/>
    </xf>
    <xf numFmtId="0" fontId="103" fillId="34" borderId="10" xfId="293" applyFont="1" applyFill="1" applyBorder="1" applyAlignment="1">
      <alignment horizontal="center"/>
      <protection/>
    </xf>
    <xf numFmtId="205" fontId="50" fillId="34" borderId="10" xfId="293" applyNumberFormat="1" applyFont="1" applyFill="1" applyBorder="1" applyAlignment="1">
      <alignment horizontal="right"/>
      <protection/>
    </xf>
    <xf numFmtId="3" fontId="53" fillId="34" borderId="10" xfId="195" applyNumberFormat="1" applyFont="1" applyFill="1" applyBorder="1" applyAlignment="1">
      <alignment horizontal="right" vertical="center"/>
      <protection/>
    </xf>
    <xf numFmtId="3" fontId="50" fillId="34" borderId="10" xfId="295" applyNumberFormat="1" applyFont="1" applyFill="1" applyBorder="1" applyAlignment="1">
      <alignment horizontal="right" vertical="center" wrapText="1"/>
      <protection/>
    </xf>
    <xf numFmtId="3" fontId="58" fillId="34" borderId="10" xfId="295" applyNumberFormat="1" applyFont="1" applyFill="1" applyBorder="1" applyAlignment="1">
      <alignment horizontal="right" vertical="center" wrapText="1"/>
      <protection/>
    </xf>
    <xf numFmtId="3" fontId="53" fillId="34" borderId="10" xfId="295" applyNumberFormat="1" applyFont="1" applyFill="1" applyBorder="1" applyAlignment="1">
      <alignment horizontal="right" vertical="center" wrapText="1"/>
      <protection/>
    </xf>
    <xf numFmtId="4" fontId="53" fillId="0" borderId="10" xfId="195" applyNumberFormat="1" applyFont="1" applyBorder="1" applyAlignment="1">
      <alignment horizontal="right" vertical="center"/>
      <protection/>
    </xf>
    <xf numFmtId="4" fontId="50" fillId="0" borderId="10" xfId="195" applyNumberFormat="1" applyFont="1" applyBorder="1" applyAlignment="1">
      <alignment horizontal="right" vertical="center"/>
      <protection/>
    </xf>
    <xf numFmtId="176" fontId="50" fillId="0" borderId="10" xfId="195" applyNumberFormat="1" applyFont="1" applyFill="1" applyBorder="1" applyAlignment="1">
      <alignment horizontal="right" vertical="center"/>
      <protection/>
    </xf>
    <xf numFmtId="0" fontId="58" fillId="0" borderId="10" xfId="195" applyFont="1" applyBorder="1" applyAlignment="1" quotePrefix="1">
      <alignment horizontal="right" vertical="center" wrapText="1"/>
      <protection/>
    </xf>
    <xf numFmtId="188" fontId="71" fillId="0" borderId="10" xfId="195" applyNumberFormat="1" applyFont="1" applyBorder="1" applyAlignment="1" quotePrefix="1">
      <alignment horizontal="right" vertical="center" wrapText="1"/>
      <protection/>
    </xf>
    <xf numFmtId="188" fontId="58" fillId="0" borderId="10" xfId="195" applyNumberFormat="1" applyFont="1" applyBorder="1" applyAlignment="1" quotePrefix="1">
      <alignment horizontal="right" vertical="center" wrapText="1"/>
      <protection/>
    </xf>
    <xf numFmtId="205" fontId="71" fillId="34" borderId="10" xfId="120" applyNumberFormat="1" applyFont="1" applyFill="1" applyBorder="1" applyAlignment="1">
      <alignment horizontal="right" vertical="center" wrapText="1"/>
    </xf>
    <xf numFmtId="2" fontId="5" fillId="0" borderId="0" xfId="206" applyNumberFormat="1" applyFont="1" applyAlignment="1">
      <alignment vertical="center"/>
      <protection/>
    </xf>
    <xf numFmtId="4" fontId="159" fillId="0" borderId="10" xfId="91" applyNumberFormat="1" applyFont="1" applyBorder="1" applyAlignment="1">
      <alignment horizontal="right" vertical="center" wrapText="1"/>
    </xf>
    <xf numFmtId="2" fontId="0" fillId="0" borderId="10" xfId="206" applyNumberFormat="1" applyFont="1" applyBorder="1" applyAlignment="1">
      <alignment horizontal="right" vertical="center" wrapText="1"/>
      <protection/>
    </xf>
    <xf numFmtId="190" fontId="12" fillId="0" borderId="0" xfId="195" applyNumberFormat="1" applyFont="1" applyFill="1" applyAlignment="1">
      <alignment vertical="center"/>
      <protection/>
    </xf>
    <xf numFmtId="224" fontId="2" fillId="0" borderId="0" xfId="265" applyNumberFormat="1" applyFont="1" applyAlignment="1">
      <alignment vertical="center"/>
      <protection/>
    </xf>
    <xf numFmtId="43" fontId="12" fillId="0" borderId="0" xfId="93" applyNumberFormat="1" applyFont="1" applyAlignment="1">
      <alignment vertical="center"/>
    </xf>
    <xf numFmtId="171" fontId="0" fillId="0" borderId="0" xfId="0" applyNumberFormat="1" applyFont="1" applyAlignment="1">
      <alignment vertical="center"/>
    </xf>
    <xf numFmtId="196" fontId="6" fillId="0" borderId="0" xfId="265" applyNumberFormat="1" applyFont="1" applyAlignment="1">
      <alignment vertical="center"/>
      <protection/>
    </xf>
    <xf numFmtId="0" fontId="6" fillId="0" borderId="0" xfId="206" applyFont="1" applyFill="1">
      <alignment/>
      <protection/>
    </xf>
    <xf numFmtId="0" fontId="15" fillId="0" borderId="0" xfId="247" applyFont="1" applyFill="1" applyAlignment="1">
      <alignment horizontal="center" vertical="center"/>
      <protection/>
    </xf>
    <xf numFmtId="0" fontId="6" fillId="0" borderId="10" xfId="247" applyFont="1" applyFill="1" applyBorder="1" applyAlignment="1">
      <alignment vertical="center" wrapText="1"/>
      <protection/>
    </xf>
    <xf numFmtId="43" fontId="6" fillId="0" borderId="10" xfId="93" applyFont="1" applyFill="1" applyBorder="1" applyAlignment="1">
      <alignment horizontal="center" vertical="center" wrapText="1"/>
    </xf>
    <xf numFmtId="43" fontId="6" fillId="0" borderId="10" xfId="93" applyFont="1" applyFill="1" applyBorder="1" applyAlignment="1">
      <alignment horizontal="center" wrapText="1"/>
    </xf>
    <xf numFmtId="185" fontId="6" fillId="0" borderId="0" xfId="206" applyNumberFormat="1" applyFont="1" applyFill="1">
      <alignment/>
      <protection/>
    </xf>
    <xf numFmtId="4" fontId="160" fillId="34" borderId="10" xfId="93" applyNumberFormat="1" applyFont="1" applyFill="1" applyBorder="1" applyAlignment="1">
      <alignment horizontal="right" vertical="center" wrapText="1"/>
    </xf>
    <xf numFmtId="179" fontId="161" fillId="35" borderId="10" xfId="93" applyNumberFormat="1" applyFont="1" applyFill="1" applyBorder="1" applyAlignment="1">
      <alignment/>
    </xf>
    <xf numFmtId="4" fontId="162" fillId="0" borderId="10" xfId="137" applyNumberFormat="1" applyFont="1" applyFill="1" applyBorder="1" applyAlignment="1">
      <alignment vertical="center"/>
    </xf>
    <xf numFmtId="3" fontId="162" fillId="0" borderId="10" xfId="0" applyNumberFormat="1" applyFont="1" applyFill="1" applyBorder="1" applyAlignment="1">
      <alignment vertical="center"/>
    </xf>
    <xf numFmtId="4" fontId="162" fillId="0" borderId="10" xfId="0" applyNumberFormat="1" applyFont="1" applyFill="1" applyBorder="1" applyAlignment="1">
      <alignment vertical="center"/>
    </xf>
    <xf numFmtId="4" fontId="162" fillId="0" borderId="10" xfId="265" applyNumberFormat="1" applyFont="1" applyFill="1" applyBorder="1" applyAlignment="1">
      <alignment vertical="center"/>
      <protection/>
    </xf>
    <xf numFmtId="3" fontId="6" fillId="0" borderId="0" xfId="0" applyNumberFormat="1" applyFont="1" applyAlignment="1">
      <alignment/>
    </xf>
    <xf numFmtId="0" fontId="6" fillId="0" borderId="0" xfId="0" applyFont="1" applyAlignment="1">
      <alignment/>
    </xf>
    <xf numFmtId="0" fontId="6" fillId="0" borderId="10" xfId="247" applyFont="1" applyFill="1" applyBorder="1" applyAlignment="1">
      <alignment horizontal="center" vertical="center" wrapText="1"/>
      <protection/>
    </xf>
    <xf numFmtId="0" fontId="6" fillId="0" borderId="10" xfId="0" applyFont="1" applyFill="1" applyBorder="1" applyAlignment="1">
      <alignment horizontal="justify" vertical="center"/>
    </xf>
    <xf numFmtId="1" fontId="6" fillId="0" borderId="10" xfId="247" applyNumberFormat="1" applyFont="1" applyFill="1" applyBorder="1" applyAlignment="1">
      <alignment horizontal="center" vertical="center" wrapText="1"/>
      <protection/>
    </xf>
    <xf numFmtId="43" fontId="6" fillId="0" borderId="0" xfId="93" applyFont="1" applyFill="1" applyAlignment="1">
      <alignment/>
    </xf>
    <xf numFmtId="0" fontId="6" fillId="0" borderId="10" xfId="0" applyFont="1" applyFill="1" applyBorder="1" applyAlignment="1" quotePrefix="1">
      <alignment horizontal="justify" vertical="center" wrapText="1"/>
    </xf>
    <xf numFmtId="4" fontId="163" fillId="0" borderId="10" xfId="93" applyNumberFormat="1" applyFont="1" applyFill="1" applyBorder="1" applyAlignment="1">
      <alignment horizontal="right" vertical="center" wrapText="1"/>
    </xf>
    <xf numFmtId="4" fontId="164" fillId="0" borderId="10" xfId="91" applyNumberFormat="1" applyFont="1" applyFill="1" applyBorder="1" applyAlignment="1">
      <alignment horizontal="right" vertical="center" wrapText="1"/>
    </xf>
    <xf numFmtId="4" fontId="163" fillId="0" borderId="10" xfId="91" applyNumberFormat="1" applyFont="1" applyFill="1" applyBorder="1" applyAlignment="1">
      <alignment horizontal="right" vertical="center" wrapText="1"/>
    </xf>
    <xf numFmtId="0" fontId="164" fillId="0" borderId="0" xfId="0" applyFont="1" applyFill="1" applyAlignment="1">
      <alignment vertical="center"/>
    </xf>
    <xf numFmtId="4" fontId="162" fillId="0" borderId="10" xfId="91" applyNumberFormat="1" applyFont="1" applyFill="1" applyBorder="1" applyAlignment="1">
      <alignment horizontal="right" vertical="center" wrapText="1"/>
    </xf>
    <xf numFmtId="4" fontId="162" fillId="0" borderId="10" xfId="93" applyNumberFormat="1" applyFont="1" applyFill="1" applyBorder="1" applyAlignment="1">
      <alignment horizontal="right" vertical="center" wrapText="1"/>
    </xf>
    <xf numFmtId="4" fontId="164" fillId="0" borderId="10" xfId="93" applyNumberFormat="1" applyFont="1" applyFill="1" applyBorder="1" applyAlignment="1">
      <alignment horizontal="right" vertical="center"/>
    </xf>
    <xf numFmtId="189" fontId="163" fillId="0" borderId="10" xfId="265" applyNumberFormat="1" applyFont="1" applyFill="1" applyBorder="1" applyAlignment="1">
      <alignment vertical="center"/>
      <protection/>
    </xf>
    <xf numFmtId="4" fontId="163" fillId="0" borderId="10" xfId="265" applyNumberFormat="1" applyFont="1" applyFill="1" applyBorder="1" applyAlignment="1">
      <alignment vertical="center"/>
      <protection/>
    </xf>
    <xf numFmtId="3" fontId="163" fillId="0" borderId="10" xfId="265" applyNumberFormat="1" applyFont="1" applyFill="1" applyBorder="1" applyAlignment="1">
      <alignment vertical="center"/>
      <protection/>
    </xf>
    <xf numFmtId="189" fontId="163" fillId="0" borderId="10" xfId="136" applyNumberFormat="1" applyFont="1" applyFill="1" applyBorder="1" applyAlignment="1">
      <alignment vertical="center"/>
    </xf>
    <xf numFmtId="179" fontId="161" fillId="0" borderId="10" xfId="93" applyNumberFormat="1" applyFont="1" applyFill="1" applyBorder="1" applyAlignment="1">
      <alignment/>
    </xf>
    <xf numFmtId="179" fontId="165" fillId="0" borderId="10" xfId="93" applyNumberFormat="1" applyFont="1" applyFill="1" applyBorder="1" applyAlignment="1">
      <alignment/>
    </xf>
    <xf numFmtId="179" fontId="165" fillId="0" borderId="10" xfId="93" applyNumberFormat="1" applyFont="1" applyFill="1" applyBorder="1" applyAlignment="1">
      <alignment vertical="center"/>
    </xf>
    <xf numFmtId="171" fontId="161" fillId="0" borderId="10" xfId="93" applyNumberFormat="1" applyFont="1" applyFill="1" applyBorder="1" applyAlignment="1">
      <alignment/>
    </xf>
    <xf numFmtId="182" fontId="161" fillId="0" borderId="10" xfId="93" applyNumberFormat="1" applyFont="1" applyFill="1" applyBorder="1" applyAlignment="1">
      <alignment/>
    </xf>
    <xf numFmtId="43" fontId="166" fillId="0" borderId="10" xfId="93" applyFont="1" applyFill="1" applyBorder="1" applyAlignment="1">
      <alignment/>
    </xf>
    <xf numFmtId="4" fontId="167" fillId="0" borderId="10" xfId="0" applyNumberFormat="1" applyFont="1" applyFill="1" applyBorder="1" applyAlignment="1">
      <alignment vertical="center"/>
    </xf>
    <xf numFmtId="171" fontId="161" fillId="0" borderId="10" xfId="93" applyNumberFormat="1" applyFont="1" applyFill="1" applyBorder="1" applyAlignment="1">
      <alignment horizontal="right" wrapText="1"/>
    </xf>
    <xf numFmtId="43" fontId="161" fillId="0" borderId="10" xfId="93" applyFont="1" applyFill="1" applyBorder="1" applyAlignment="1">
      <alignment horizontal="right" wrapText="1"/>
    </xf>
    <xf numFmtId="171" fontId="161" fillId="0" borderId="10" xfId="0" applyNumberFormat="1" applyFont="1" applyFill="1" applyBorder="1" applyAlignment="1">
      <alignment vertical="center"/>
    </xf>
    <xf numFmtId="171" fontId="167" fillId="0" borderId="10" xfId="95" applyFont="1" applyFill="1" applyBorder="1" applyAlignment="1">
      <alignment vertical="center"/>
    </xf>
    <xf numFmtId="171" fontId="161" fillId="0" borderId="10" xfId="95" applyFont="1" applyFill="1" applyBorder="1" applyAlignment="1">
      <alignment vertical="center"/>
    </xf>
    <xf numFmtId="182" fontId="163" fillId="0" borderId="10" xfId="158" applyNumberFormat="1" applyFont="1" applyFill="1" applyBorder="1" applyAlignment="1">
      <alignment horizontal="right" vertical="center" wrapText="1"/>
    </xf>
    <xf numFmtId="4" fontId="163" fillId="0" borderId="10" xfId="158" applyNumberFormat="1" applyFont="1" applyFill="1" applyBorder="1" applyAlignment="1">
      <alignment horizontal="right" vertical="center" wrapText="1"/>
    </xf>
    <xf numFmtId="4" fontId="163" fillId="0" borderId="10" xfId="276" applyNumberFormat="1" applyFont="1" applyFill="1" applyBorder="1" applyAlignment="1">
      <alignment horizontal="right" vertical="center" wrapText="1"/>
      <protection/>
    </xf>
    <xf numFmtId="171" fontId="163" fillId="0" borderId="10" xfId="158" applyNumberFormat="1" applyFont="1" applyFill="1" applyBorder="1" applyAlignment="1">
      <alignment horizontal="right" vertical="center" wrapText="1"/>
    </xf>
    <xf numFmtId="4" fontId="164" fillId="0" borderId="10" xfId="93" applyNumberFormat="1" applyFont="1" applyFill="1" applyBorder="1" applyAlignment="1">
      <alignment horizontal="right" vertical="center" wrapText="1"/>
    </xf>
    <xf numFmtId="0" fontId="6" fillId="0" borderId="10" xfId="0" applyFont="1" applyFill="1" applyBorder="1" applyAlignment="1" quotePrefix="1">
      <alignment vertical="center" wrapText="1"/>
    </xf>
    <xf numFmtId="0" fontId="5" fillId="0" borderId="10"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4" xfId="0" applyFont="1" applyBorder="1" applyAlignment="1">
      <alignment horizontal="center" vertical="center" wrapText="1"/>
    </xf>
    <xf numFmtId="0" fontId="56" fillId="0" borderId="0" xfId="206" applyFont="1" applyAlignment="1">
      <alignment horizontal="center" vertical="center"/>
      <protection/>
    </xf>
    <xf numFmtId="0" fontId="7" fillId="0" borderId="0" xfId="297" applyFont="1" applyAlignment="1">
      <alignment horizontal="right" vertical="center"/>
      <protection/>
    </xf>
    <xf numFmtId="0" fontId="3" fillId="0" borderId="0" xfId="0" applyFont="1" applyAlignment="1">
      <alignment horizontal="center" vertical="center" wrapText="1"/>
    </xf>
    <xf numFmtId="0" fontId="18" fillId="0" borderId="0" xfId="0" applyFont="1" applyAlignment="1">
      <alignment horizontal="center" vertical="center"/>
    </xf>
    <xf numFmtId="0" fontId="3" fillId="0" borderId="0" xfId="265" applyFont="1" applyAlignment="1">
      <alignment horizontal="center" vertical="center"/>
      <protection/>
    </xf>
    <xf numFmtId="0" fontId="56" fillId="0" borderId="0" xfId="206" applyFont="1" applyAlignment="1">
      <alignment horizontal="center" vertical="center"/>
      <protection/>
    </xf>
    <xf numFmtId="0" fontId="0" fillId="0" borderId="10" xfId="265" applyFont="1" applyBorder="1" applyAlignment="1">
      <alignment horizontal="center" vertical="center" wrapText="1"/>
      <protection/>
    </xf>
    <xf numFmtId="0" fontId="0" fillId="0" borderId="33" xfId="265" applyFont="1" applyBorder="1" applyAlignment="1">
      <alignment horizontal="center" vertical="center" wrapText="1"/>
      <protection/>
    </xf>
    <xf numFmtId="0" fontId="0" fillId="0" borderId="6" xfId="265" applyFont="1" applyBorder="1" applyAlignment="1">
      <alignment horizontal="center" vertical="center" wrapText="1"/>
      <protection/>
    </xf>
    <xf numFmtId="0" fontId="0" fillId="0" borderId="34" xfId="265" applyFont="1" applyBorder="1" applyAlignment="1">
      <alignment horizontal="center" vertical="center" wrapText="1"/>
      <protection/>
    </xf>
    <xf numFmtId="0" fontId="11" fillId="0" borderId="10"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15" xfId="0" applyFont="1" applyBorder="1" applyAlignment="1">
      <alignment horizontal="center" vertical="center"/>
    </xf>
    <xf numFmtId="0" fontId="11" fillId="0" borderId="0" xfId="0" applyFont="1" applyAlignment="1">
      <alignment horizontal="center" vertical="center" wrapText="1"/>
    </xf>
    <xf numFmtId="0" fontId="2" fillId="0" borderId="0" xfId="0" applyFont="1" applyFill="1" applyAlignment="1">
      <alignment horizontal="center" vertical="center" wrapText="1"/>
    </xf>
    <xf numFmtId="0" fontId="58" fillId="0" borderId="0" xfId="0" applyFont="1" applyFill="1" applyAlignment="1">
      <alignment horizontal="center" vertical="center" wrapText="1"/>
    </xf>
    <xf numFmtId="49" fontId="11" fillId="0" borderId="10" xfId="0"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185" fontId="54" fillId="0" borderId="0" xfId="253" applyNumberFormat="1" applyFont="1" applyAlignment="1">
      <alignment horizontal="center" vertical="center" wrapText="1"/>
      <protection/>
    </xf>
    <xf numFmtId="182" fontId="5" fillId="34" borderId="0" xfId="95" applyNumberFormat="1" applyFont="1" applyFill="1" applyAlignment="1">
      <alignment horizontal="left" vertical="center" wrapText="1"/>
    </xf>
    <xf numFmtId="0" fontId="2" fillId="34" borderId="0" xfId="253" applyFont="1" applyFill="1" applyAlignment="1">
      <alignment horizontal="center" vertical="top" wrapText="1"/>
      <protection/>
    </xf>
    <xf numFmtId="182" fontId="56" fillId="34" borderId="0" xfId="95" applyNumberFormat="1" applyFont="1" applyFill="1" applyBorder="1" applyAlignment="1">
      <alignment horizontal="center" vertical="top" wrapText="1"/>
    </xf>
    <xf numFmtId="182" fontId="11" fillId="34" borderId="10" xfId="95" applyNumberFormat="1" applyFont="1" applyFill="1" applyBorder="1" applyAlignment="1">
      <alignment vertical="center" wrapText="1"/>
    </xf>
    <xf numFmtId="179" fontId="11" fillId="34" borderId="10" xfId="95" applyNumberFormat="1" applyFont="1" applyFill="1" applyBorder="1" applyAlignment="1">
      <alignment horizontal="center" vertical="center" wrapText="1"/>
    </xf>
    <xf numFmtId="0" fontId="11" fillId="34" borderId="10" xfId="16" applyFont="1" applyFill="1" applyBorder="1" applyAlignment="1">
      <alignment horizontal="center" vertical="center" wrapText="1"/>
      <protection/>
    </xf>
    <xf numFmtId="179" fontId="11" fillId="34" borderId="10" xfId="95" applyNumberFormat="1" applyFont="1" applyFill="1" applyBorder="1" applyAlignment="1">
      <alignment horizontal="center" vertical="center"/>
    </xf>
    <xf numFmtId="179" fontId="11" fillId="34" borderId="25" xfId="95" applyNumberFormat="1" applyFont="1" applyFill="1" applyBorder="1" applyAlignment="1">
      <alignment horizontal="center" vertical="center"/>
    </xf>
    <xf numFmtId="0" fontId="53" fillId="0" borderId="22" xfId="206" applyFont="1" applyBorder="1" applyAlignment="1">
      <alignment horizontal="center" vertical="center" wrapText="1"/>
      <protection/>
    </xf>
    <xf numFmtId="0" fontId="53" fillId="0" borderId="25" xfId="206" applyFont="1" applyBorder="1" applyAlignment="1">
      <alignment horizontal="center" vertical="center" wrapText="1"/>
      <protection/>
    </xf>
    <xf numFmtId="0" fontId="4" fillId="0" borderId="15" xfId="206" applyFont="1" applyBorder="1" applyAlignment="1">
      <alignment horizontal="left" vertical="center" wrapText="1"/>
      <protection/>
    </xf>
    <xf numFmtId="0" fontId="53" fillId="0" borderId="0" xfId="206" applyFont="1" applyAlignment="1">
      <alignment horizontal="left" vertical="center"/>
      <protection/>
    </xf>
    <xf numFmtId="0" fontId="2" fillId="0" borderId="0" xfId="206" applyFont="1" applyAlignment="1">
      <alignment horizontal="center" vertical="center"/>
      <protection/>
    </xf>
    <xf numFmtId="0" fontId="5" fillId="0" borderId="22" xfId="206" applyFont="1" applyBorder="1" applyAlignment="1">
      <alignment horizontal="center" vertical="center" wrapText="1"/>
      <protection/>
    </xf>
    <xf numFmtId="0" fontId="5" fillId="0" borderId="25" xfId="206" applyFont="1" applyBorder="1" applyAlignment="1">
      <alignment horizontal="center" vertical="center" wrapText="1"/>
      <protection/>
    </xf>
    <xf numFmtId="0" fontId="5" fillId="0" borderId="35" xfId="206" applyFont="1" applyBorder="1" applyAlignment="1">
      <alignment horizontal="center" vertical="center" wrapText="1"/>
      <protection/>
    </xf>
    <xf numFmtId="0" fontId="5" fillId="0" borderId="36" xfId="206" applyFont="1" applyBorder="1" applyAlignment="1">
      <alignment horizontal="center" vertical="center" wrapText="1"/>
      <protection/>
    </xf>
    <xf numFmtId="0" fontId="5" fillId="0" borderId="26" xfId="206" applyFont="1" applyBorder="1" applyAlignment="1">
      <alignment horizontal="center" vertical="center" wrapText="1"/>
      <protection/>
    </xf>
    <xf numFmtId="0" fontId="56" fillId="0" borderId="0" xfId="195" applyFont="1" applyAlignment="1">
      <alignment horizontal="center" vertical="center"/>
      <protection/>
    </xf>
    <xf numFmtId="0" fontId="3" fillId="0" borderId="0" xfId="195" applyFont="1" applyAlignment="1">
      <alignment horizontal="center" vertical="center"/>
      <protection/>
    </xf>
    <xf numFmtId="0" fontId="4" fillId="0" borderId="0" xfId="195" applyFont="1" applyAlignment="1">
      <alignment horizontal="center" vertical="center"/>
      <protection/>
    </xf>
    <xf numFmtId="0" fontId="11" fillId="0" borderId="10" xfId="293" applyFont="1" applyFill="1" applyBorder="1" applyAlignment="1">
      <alignment horizontal="center" vertical="center" wrapText="1"/>
      <protection/>
    </xf>
    <xf numFmtId="0" fontId="11" fillId="0" borderId="22" xfId="291" applyFont="1" applyFill="1" applyBorder="1" applyAlignment="1">
      <alignment horizontal="center" vertical="center" wrapText="1"/>
      <protection/>
    </xf>
    <xf numFmtId="0" fontId="11" fillId="0" borderId="25" xfId="291" applyFont="1" applyFill="1" applyBorder="1" applyAlignment="1">
      <alignment horizontal="center" vertical="center" wrapText="1"/>
      <protection/>
    </xf>
    <xf numFmtId="0" fontId="7" fillId="0" borderId="1" xfId="195" applyFont="1" applyBorder="1" applyAlignment="1">
      <alignment horizontal="center"/>
      <protection/>
    </xf>
    <xf numFmtId="0" fontId="11" fillId="0" borderId="10" xfId="195" applyFont="1" applyFill="1" applyBorder="1" applyAlignment="1">
      <alignment horizontal="center" vertical="center" wrapText="1"/>
      <protection/>
    </xf>
    <xf numFmtId="0" fontId="11" fillId="0" borderId="22" xfId="195" applyFont="1" applyFill="1" applyBorder="1" applyAlignment="1">
      <alignment horizontal="center" vertical="center"/>
      <protection/>
    </xf>
    <xf numFmtId="0" fontId="11" fillId="0" borderId="4" xfId="195" applyFont="1" applyFill="1" applyBorder="1" applyAlignment="1">
      <alignment horizontal="center" vertical="center"/>
      <protection/>
    </xf>
    <xf numFmtId="0" fontId="11" fillId="0" borderId="25" xfId="195" applyFont="1" applyFill="1" applyBorder="1" applyAlignment="1">
      <alignment horizontal="center" vertical="center"/>
      <protection/>
    </xf>
    <xf numFmtId="0" fontId="11" fillId="0" borderId="10" xfId="195" applyFont="1" applyFill="1" applyBorder="1" applyAlignment="1">
      <alignment horizontal="center" vertical="center"/>
      <protection/>
    </xf>
    <xf numFmtId="0" fontId="53" fillId="0" borderId="10" xfId="195" applyFont="1" applyBorder="1" applyAlignment="1">
      <alignment horizontal="center" vertical="center" wrapText="1"/>
      <protection/>
    </xf>
    <xf numFmtId="0" fontId="53" fillId="0" borderId="10" xfId="195" applyFont="1" applyBorder="1" applyAlignment="1">
      <alignment horizontal="center" vertical="center"/>
      <protection/>
    </xf>
    <xf numFmtId="0" fontId="58" fillId="0" borderId="1" xfId="195" applyFont="1" applyBorder="1" applyAlignment="1">
      <alignment horizontal="center" vertical="center"/>
      <protection/>
    </xf>
    <xf numFmtId="0" fontId="53" fillId="0" borderId="34" xfId="291" applyFont="1" applyBorder="1" applyAlignment="1">
      <alignment horizontal="center" vertical="center"/>
      <protection/>
    </xf>
    <xf numFmtId="0" fontId="53" fillId="0" borderId="10" xfId="291" applyFont="1" applyBorder="1" applyAlignment="1">
      <alignment horizontal="center" vertical="center"/>
      <protection/>
    </xf>
    <xf numFmtId="0" fontId="3" fillId="0" borderId="0" xfId="195" applyFont="1" applyAlignment="1">
      <alignment horizontal="center" vertical="center" wrapText="1"/>
      <protection/>
    </xf>
    <xf numFmtId="0" fontId="4" fillId="0" borderId="0" xfId="195" applyFont="1" applyAlignment="1">
      <alignment horizontal="center" vertical="center" wrapText="1"/>
      <protection/>
    </xf>
    <xf numFmtId="0" fontId="53" fillId="0" borderId="10" xfId="291" applyFont="1" applyBorder="1" applyAlignment="1">
      <alignment horizontal="center" vertical="center" wrapText="1"/>
      <protection/>
    </xf>
    <xf numFmtId="49" fontId="53" fillId="0" borderId="10" xfId="291" applyNumberFormat="1" applyFont="1" applyBorder="1" applyAlignment="1">
      <alignment horizontal="center" vertical="center" wrapText="1"/>
      <protection/>
    </xf>
    <xf numFmtId="0" fontId="53" fillId="0" borderId="10" xfId="291" applyFont="1" applyFill="1" applyBorder="1" applyAlignment="1">
      <alignment horizontal="center" vertical="center" wrapText="1"/>
      <protection/>
    </xf>
    <xf numFmtId="0" fontId="53" fillId="0" borderId="10" xfId="293" applyFont="1" applyFill="1" applyBorder="1" applyAlignment="1">
      <alignment horizontal="center" vertical="center" wrapText="1"/>
      <protection/>
    </xf>
    <xf numFmtId="0" fontId="50" fillId="0" borderId="15" xfId="195" applyFont="1" applyFill="1" applyBorder="1" applyAlignment="1">
      <alignment horizontal="center" vertical="center" wrapText="1"/>
      <protection/>
    </xf>
    <xf numFmtId="0" fontId="3" fillId="0" borderId="0" xfId="195" applyFont="1" applyFill="1" applyAlignment="1">
      <alignment horizontal="center" vertical="center"/>
      <protection/>
    </xf>
    <xf numFmtId="0" fontId="4" fillId="0" borderId="0" xfId="195" applyFont="1" applyFill="1" applyAlignment="1">
      <alignment horizontal="center" vertical="center"/>
      <protection/>
    </xf>
    <xf numFmtId="3" fontId="11" fillId="0" borderId="10" xfId="293" applyNumberFormat="1" applyFont="1" applyFill="1" applyBorder="1" applyAlignment="1">
      <alignment horizontal="center" vertical="center" wrapText="1"/>
      <protection/>
    </xf>
    <xf numFmtId="3" fontId="11" fillId="0" borderId="22" xfId="293" applyNumberFormat="1" applyFont="1" applyFill="1" applyBorder="1" applyAlignment="1">
      <alignment horizontal="center" vertical="center" wrapText="1"/>
      <protection/>
    </xf>
    <xf numFmtId="0" fontId="11" fillId="0" borderId="10" xfId="291" applyFont="1" applyFill="1" applyBorder="1" applyAlignment="1">
      <alignment horizontal="center" vertical="center" wrapText="1"/>
      <protection/>
    </xf>
    <xf numFmtId="0" fontId="11" fillId="0" borderId="33" xfId="291" applyFont="1" applyBorder="1" applyAlignment="1">
      <alignment horizontal="center" vertical="center" wrapText="1"/>
      <protection/>
    </xf>
    <xf numFmtId="0" fontId="11" fillId="0" borderId="34" xfId="291" applyFont="1" applyBorder="1" applyAlignment="1">
      <alignment horizontal="center" vertical="center" wrapText="1"/>
      <protection/>
    </xf>
    <xf numFmtId="0" fontId="11" fillId="0" borderId="0" xfId="195" applyFont="1" applyAlignment="1">
      <alignment horizontal="left" vertical="center" wrapText="1"/>
      <protection/>
    </xf>
    <xf numFmtId="0" fontId="11" fillId="0" borderId="10" xfId="195" applyFont="1" applyBorder="1" applyAlignment="1">
      <alignment horizontal="center" vertical="center" wrapText="1"/>
      <protection/>
    </xf>
    <xf numFmtId="0" fontId="11" fillId="0" borderId="10" xfId="291" applyFont="1" applyBorder="1" applyAlignment="1">
      <alignment horizontal="center" vertical="center" wrapText="1"/>
      <protection/>
    </xf>
    <xf numFmtId="0" fontId="11" fillId="0" borderId="33" xfId="195" applyFont="1" applyBorder="1" applyAlignment="1">
      <alignment horizontal="center" vertical="center"/>
      <protection/>
    </xf>
    <xf numFmtId="0" fontId="11" fillId="0" borderId="6" xfId="195" applyFont="1" applyBorder="1" applyAlignment="1">
      <alignment horizontal="center" vertical="center"/>
      <protection/>
    </xf>
    <xf numFmtId="0" fontId="11" fillId="0" borderId="34" xfId="195" applyFont="1" applyBorder="1" applyAlignment="1">
      <alignment horizontal="center" vertical="center"/>
      <protection/>
    </xf>
    <xf numFmtId="0" fontId="4" fillId="0" borderId="0" xfId="0" applyFont="1" applyAlignment="1">
      <alignment horizontal="left" vertical="center" wrapText="1"/>
    </xf>
    <xf numFmtId="0" fontId="5" fillId="0" borderId="22" xfId="0" applyFont="1" applyBorder="1" applyAlignment="1">
      <alignment horizontal="center" vertical="center" wrapText="1"/>
    </xf>
    <xf numFmtId="0" fontId="5" fillId="0" borderId="25" xfId="0" applyFont="1" applyBorder="1" applyAlignment="1">
      <alignment horizontal="center" vertical="center" wrapText="1"/>
    </xf>
    <xf numFmtId="0" fontId="56"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center" vertical="center"/>
    </xf>
    <xf numFmtId="1" fontId="56" fillId="0" borderId="0" xfId="288" applyNumberFormat="1" applyFont="1" applyAlignment="1">
      <alignment horizontal="center" vertical="center" wrapText="1"/>
      <protection/>
    </xf>
    <xf numFmtId="1" fontId="3" fillId="0" borderId="0" xfId="288" applyNumberFormat="1" applyFont="1" applyAlignment="1">
      <alignment horizontal="center" vertical="center"/>
      <protection/>
    </xf>
    <xf numFmtId="1" fontId="3" fillId="0" borderId="0" xfId="288" applyNumberFormat="1" applyFont="1" applyAlignment="1">
      <alignment horizontal="center" vertical="center" wrapText="1"/>
      <protection/>
    </xf>
    <xf numFmtId="0" fontId="4" fillId="30" borderId="1" xfId="297" applyFont="1" applyFill="1" applyBorder="1" applyAlignment="1">
      <alignment horizontal="center" vertical="center"/>
      <protection/>
    </xf>
    <xf numFmtId="0" fontId="2" fillId="30" borderId="0" xfId="297" applyFont="1" applyFill="1" applyAlignment="1">
      <alignment horizontal="center" vertical="center"/>
      <protection/>
    </xf>
    <xf numFmtId="0" fontId="2" fillId="30" borderId="0" xfId="297" applyFont="1" applyFill="1" applyAlignment="1">
      <alignment horizontal="left" vertical="center"/>
      <protection/>
    </xf>
    <xf numFmtId="0" fontId="7" fillId="30" borderId="0" xfId="297" applyFont="1" applyFill="1" applyAlignment="1">
      <alignment horizontal="right" vertical="center"/>
      <protection/>
    </xf>
    <xf numFmtId="0" fontId="3" fillId="30" borderId="0" xfId="297" applyFont="1" applyFill="1" applyAlignment="1">
      <alignment horizontal="center" vertical="center"/>
      <protection/>
    </xf>
    <xf numFmtId="49" fontId="0" fillId="30" borderId="10" xfId="297" applyNumberFormat="1" applyFont="1" applyFill="1" applyBorder="1" applyAlignment="1">
      <alignment horizontal="center" vertical="center" wrapText="1"/>
      <protection/>
    </xf>
    <xf numFmtId="0" fontId="6" fillId="30" borderId="0" xfId="297" applyFill="1" applyAlignment="1">
      <alignment horizontal="left" vertical="center" wrapText="1"/>
      <protection/>
    </xf>
    <xf numFmtId="0" fontId="0" fillId="30" borderId="10" xfId="297" applyFont="1" applyFill="1" applyBorder="1" applyAlignment="1">
      <alignment horizontal="center" vertical="center"/>
      <protection/>
    </xf>
    <xf numFmtId="49" fontId="0" fillId="30" borderId="35" xfId="297" applyNumberFormat="1" applyFont="1" applyFill="1" applyBorder="1" applyAlignment="1">
      <alignment horizontal="center" vertical="center" wrapText="1"/>
      <protection/>
    </xf>
    <xf numFmtId="49" fontId="0" fillId="30" borderId="26" xfId="297" applyNumberFormat="1" applyFont="1" applyFill="1" applyBorder="1" applyAlignment="1">
      <alignment horizontal="center" vertical="center" wrapText="1"/>
      <protection/>
    </xf>
    <xf numFmtId="49" fontId="0" fillId="30" borderId="37" xfId="297" applyNumberFormat="1" applyFont="1" applyFill="1" applyBorder="1" applyAlignment="1">
      <alignment horizontal="center" vertical="center" wrapText="1"/>
      <protection/>
    </xf>
    <xf numFmtId="49" fontId="0" fillId="30" borderId="38" xfId="297" applyNumberFormat="1" applyFont="1" applyFill="1" applyBorder="1" applyAlignment="1">
      <alignment horizontal="center" vertical="center" wrapText="1"/>
      <protection/>
    </xf>
    <xf numFmtId="0" fontId="54" fillId="34" borderId="22" xfId="247" applyFont="1" applyFill="1" applyBorder="1" applyAlignment="1">
      <alignment horizontal="center" vertical="center" wrapText="1"/>
      <protection/>
    </xf>
    <xf numFmtId="0" fontId="54" fillId="34" borderId="4" xfId="247" applyFont="1" applyFill="1" applyBorder="1" applyAlignment="1">
      <alignment horizontal="center" vertical="center" wrapText="1"/>
      <protection/>
    </xf>
    <xf numFmtId="0" fontId="54" fillId="34" borderId="25" xfId="247" applyFont="1" applyFill="1" applyBorder="1" applyAlignment="1">
      <alignment horizontal="center" vertical="center" wrapText="1"/>
      <protection/>
    </xf>
    <xf numFmtId="0" fontId="70" fillId="34" borderId="22" xfId="247" applyFont="1" applyFill="1" applyBorder="1" applyAlignment="1">
      <alignment horizontal="center" vertical="center" wrapText="1"/>
      <protection/>
    </xf>
    <xf numFmtId="0" fontId="70" fillId="34" borderId="4" xfId="247" applyFont="1" applyFill="1" applyBorder="1" applyAlignment="1">
      <alignment horizontal="center" vertical="center" wrapText="1"/>
      <protection/>
    </xf>
    <xf numFmtId="0" fontId="70" fillId="34" borderId="25" xfId="247" applyFont="1" applyFill="1" applyBorder="1" applyAlignment="1">
      <alignment horizontal="center" vertical="center" wrapText="1"/>
      <protection/>
    </xf>
    <xf numFmtId="182" fontId="54" fillId="34" borderId="22" xfId="138" applyNumberFormat="1" applyFont="1" applyFill="1" applyBorder="1" applyAlignment="1">
      <alignment horizontal="center" vertical="center" wrapText="1"/>
    </xf>
    <xf numFmtId="182" fontId="54" fillId="34" borderId="25" xfId="138" applyNumberFormat="1" applyFont="1" applyFill="1" applyBorder="1" applyAlignment="1">
      <alignment horizontal="center" vertical="center" wrapText="1"/>
    </xf>
    <xf numFmtId="182" fontId="54" fillId="34" borderId="4" xfId="138" applyNumberFormat="1" applyFont="1" applyFill="1" applyBorder="1" applyAlignment="1">
      <alignment horizontal="center" vertical="center" wrapText="1"/>
    </xf>
    <xf numFmtId="0" fontId="57" fillId="34" borderId="22" xfId="253" applyFont="1" applyFill="1" applyBorder="1" applyAlignment="1">
      <alignment horizontal="center" vertical="center" wrapText="1"/>
      <protection/>
    </xf>
    <xf numFmtId="0" fontId="57" fillId="34" borderId="25" xfId="253" applyFont="1" applyFill="1" applyBorder="1" applyAlignment="1">
      <alignment horizontal="center" vertical="center" wrapText="1"/>
      <protection/>
    </xf>
    <xf numFmtId="182" fontId="57" fillId="34" borderId="22" xfId="138" applyNumberFormat="1" applyFont="1" applyFill="1" applyBorder="1" applyAlignment="1">
      <alignment horizontal="center" vertical="center" wrapText="1"/>
    </xf>
    <xf numFmtId="182" fontId="57" fillId="34" borderId="25" xfId="138" applyNumberFormat="1" applyFont="1" applyFill="1" applyBorder="1" applyAlignment="1">
      <alignment horizontal="center" vertical="center" wrapText="1"/>
    </xf>
    <xf numFmtId="182" fontId="57" fillId="34" borderId="33" xfId="138" applyNumberFormat="1" applyFont="1" applyFill="1" applyBorder="1" applyAlignment="1">
      <alignment horizontal="center" vertical="center" wrapText="1"/>
    </xf>
    <xf numFmtId="182" fontId="57" fillId="34" borderId="6" xfId="138" applyNumberFormat="1" applyFont="1" applyFill="1" applyBorder="1" applyAlignment="1">
      <alignment horizontal="center" vertical="center" wrapText="1"/>
    </xf>
    <xf numFmtId="182" fontId="57" fillId="34" borderId="34" xfId="138" applyNumberFormat="1" applyFont="1" applyFill="1" applyBorder="1" applyAlignment="1">
      <alignment horizontal="center" vertical="center" wrapText="1"/>
    </xf>
    <xf numFmtId="43" fontId="57" fillId="34" borderId="22" xfId="93" applyFont="1" applyFill="1" applyBorder="1" applyAlignment="1">
      <alignment horizontal="center" vertical="center" wrapText="1"/>
    </xf>
    <xf numFmtId="43" fontId="57" fillId="34" borderId="25" xfId="93" applyFont="1" applyFill="1" applyBorder="1" applyAlignment="1">
      <alignment horizontal="center" vertical="center" wrapText="1"/>
    </xf>
    <xf numFmtId="0" fontId="5" fillId="34" borderId="0" xfId="247" applyFont="1" applyFill="1" applyAlignment="1">
      <alignment horizontal="left" vertical="center"/>
      <protection/>
    </xf>
    <xf numFmtId="0" fontId="2" fillId="34" borderId="0" xfId="247" applyFont="1" applyFill="1" applyAlignment="1">
      <alignment horizontal="center" vertical="center" wrapText="1"/>
      <protection/>
    </xf>
    <xf numFmtId="0" fontId="4" fillId="34" borderId="0" xfId="247" applyFont="1" applyFill="1" applyAlignment="1">
      <alignment horizontal="center" vertical="center"/>
      <protection/>
    </xf>
    <xf numFmtId="0" fontId="57" fillId="34" borderId="22" xfId="247" applyFont="1" applyFill="1" applyBorder="1" applyAlignment="1">
      <alignment horizontal="center" vertical="center" wrapText="1"/>
      <protection/>
    </xf>
    <xf numFmtId="0" fontId="57" fillId="34" borderId="4" xfId="247" applyFont="1" applyFill="1" applyBorder="1" applyAlignment="1">
      <alignment horizontal="center" vertical="center" wrapText="1"/>
      <protection/>
    </xf>
    <xf numFmtId="0" fontId="57" fillId="34" borderId="25" xfId="247" applyFont="1" applyFill="1" applyBorder="1" applyAlignment="1">
      <alignment horizontal="center" vertical="center" wrapText="1"/>
      <protection/>
    </xf>
    <xf numFmtId="182" fontId="57" fillId="34" borderId="4" xfId="138" applyNumberFormat="1" applyFont="1" applyFill="1" applyBorder="1" applyAlignment="1">
      <alignment horizontal="center" vertical="center" wrapText="1"/>
    </xf>
    <xf numFmtId="0" fontId="57" fillId="34" borderId="33" xfId="16" applyFont="1" applyFill="1" applyBorder="1" applyAlignment="1">
      <alignment horizontal="center" vertical="center" wrapText="1"/>
      <protection/>
    </xf>
    <xf numFmtId="0" fontId="57" fillId="34" borderId="34" xfId="16" applyFont="1" applyFill="1" applyBorder="1" applyAlignment="1">
      <alignment horizontal="center" vertical="center" wrapText="1"/>
      <protection/>
    </xf>
    <xf numFmtId="171" fontId="57" fillId="34" borderId="33" xfId="138" applyFont="1" applyFill="1" applyBorder="1" applyAlignment="1">
      <alignment horizontal="center" vertical="center" wrapText="1"/>
    </xf>
    <xf numFmtId="171" fontId="57" fillId="34" borderId="34" xfId="138" applyFont="1" applyFill="1" applyBorder="1" applyAlignment="1">
      <alignment horizontal="center" vertical="center" wrapText="1"/>
    </xf>
    <xf numFmtId="1" fontId="17" fillId="0" borderId="0" xfId="288" applyNumberFormat="1" applyFont="1" applyAlignment="1">
      <alignment horizontal="left" vertical="center" wrapText="1"/>
      <protection/>
    </xf>
    <xf numFmtId="3" fontId="6" fillId="0" borderId="10" xfId="288" applyNumberFormat="1" applyFont="1" applyBorder="1" applyAlignment="1">
      <alignment horizontal="center" vertical="center" wrapText="1"/>
      <protection/>
    </xf>
    <xf numFmtId="1" fontId="6" fillId="0" borderId="0" xfId="288" applyNumberFormat="1" applyFont="1" applyAlignment="1">
      <alignment horizontal="left" vertical="center" wrapText="1"/>
      <protection/>
    </xf>
    <xf numFmtId="0" fontId="20" fillId="0" borderId="10" xfId="204" applyFont="1" applyBorder="1" applyAlignment="1">
      <alignment horizontal="center" vertical="center" wrapText="1"/>
      <protection/>
    </xf>
    <xf numFmtId="3" fontId="0" fillId="0" borderId="22" xfId="288" applyNumberFormat="1" applyFont="1" applyBorder="1" applyAlignment="1">
      <alignment horizontal="center" vertical="center" wrapText="1"/>
      <protection/>
    </xf>
    <xf numFmtId="3" fontId="0" fillId="0" borderId="4" xfId="288" applyNumberFormat="1" applyFont="1" applyBorder="1" applyAlignment="1">
      <alignment horizontal="center" vertical="center" wrapText="1"/>
      <protection/>
    </xf>
    <xf numFmtId="3" fontId="6" fillId="0" borderId="4" xfId="288" applyNumberFormat="1" applyFont="1" applyBorder="1" applyAlignment="1">
      <alignment horizontal="center" vertical="center" wrapText="1"/>
      <protection/>
    </xf>
    <xf numFmtId="3" fontId="6" fillId="0" borderId="25" xfId="288" applyNumberFormat="1" applyFont="1" applyBorder="1" applyAlignment="1">
      <alignment horizontal="center" vertical="center" wrapText="1"/>
      <protection/>
    </xf>
    <xf numFmtId="3" fontId="6" fillId="0" borderId="33" xfId="288" applyNumberFormat="1" applyFont="1" applyBorder="1" applyAlignment="1">
      <alignment horizontal="center" vertical="center" wrapText="1"/>
      <protection/>
    </xf>
    <xf numFmtId="3" fontId="6" fillId="0" borderId="6" xfId="288" applyNumberFormat="1" applyFont="1" applyBorder="1" applyAlignment="1">
      <alignment horizontal="center" vertical="center" wrapText="1"/>
      <protection/>
    </xf>
    <xf numFmtId="3" fontId="6" fillId="0" borderId="34" xfId="288" applyNumberFormat="1" applyFont="1" applyBorder="1" applyAlignment="1">
      <alignment horizontal="center" vertical="center" wrapText="1"/>
      <protection/>
    </xf>
    <xf numFmtId="3" fontId="0" fillId="0" borderId="10" xfId="288" applyNumberFormat="1" applyFont="1" applyBorder="1" applyAlignment="1">
      <alignment horizontal="center" vertical="center" wrapText="1"/>
      <protection/>
    </xf>
    <xf numFmtId="1" fontId="21" fillId="0" borderId="0" xfId="288" applyNumberFormat="1" applyFont="1" applyAlignment="1">
      <alignment vertical="center" wrapText="1"/>
      <protection/>
    </xf>
    <xf numFmtId="1" fontId="19" fillId="0" borderId="0" xfId="288" applyNumberFormat="1" applyFont="1" applyAlignment="1">
      <alignment horizontal="center" vertical="center" wrapText="1"/>
      <protection/>
    </xf>
    <xf numFmtId="1" fontId="15" fillId="0" borderId="1" xfId="288" applyNumberFormat="1" applyFont="1" applyBorder="1" applyAlignment="1">
      <alignment horizontal="right" vertical="center"/>
      <protection/>
    </xf>
    <xf numFmtId="3" fontId="6" fillId="0" borderId="22" xfId="288" applyNumberFormat="1" applyFont="1" applyBorder="1" applyAlignment="1">
      <alignment horizontal="center" vertical="center" wrapText="1"/>
      <protection/>
    </xf>
    <xf numFmtId="1" fontId="0" fillId="0" borderId="0" xfId="288" applyNumberFormat="1" applyFont="1" applyAlignment="1">
      <alignment horizontal="left" vertical="center" wrapText="1"/>
      <protection/>
    </xf>
    <xf numFmtId="1" fontId="5" fillId="0" borderId="0" xfId="288" applyNumberFormat="1" applyFont="1" applyAlignment="1">
      <alignment vertical="center" wrapText="1"/>
      <protection/>
    </xf>
    <xf numFmtId="1" fontId="5" fillId="0" borderId="0" xfId="288" applyNumberFormat="1" applyFont="1" applyAlignment="1">
      <alignment horizontal="center" vertical="center" wrapText="1"/>
      <protection/>
    </xf>
    <xf numFmtId="1" fontId="4" fillId="0" borderId="1" xfId="288" applyNumberFormat="1" applyFont="1" applyBorder="1" applyAlignment="1">
      <alignment horizontal="center" vertical="center"/>
      <protection/>
    </xf>
    <xf numFmtId="0" fontId="5" fillId="0" borderId="0" xfId="0" applyFont="1" applyAlignment="1">
      <alignment horizontal="center"/>
    </xf>
    <xf numFmtId="0" fontId="4" fillId="0" borderId="0" xfId="0" applyFont="1" applyAlignment="1">
      <alignment horizontal="right"/>
    </xf>
    <xf numFmtId="0" fontId="5" fillId="0" borderId="10" xfId="0" applyFont="1" applyBorder="1" applyAlignment="1">
      <alignment horizontal="center"/>
    </xf>
    <xf numFmtId="0" fontId="5" fillId="0" borderId="10" xfId="0" applyFont="1" applyBorder="1" applyAlignment="1">
      <alignment horizontal="center" vertical="center"/>
    </xf>
    <xf numFmtId="0" fontId="0" fillId="0" borderId="0" xfId="0" applyAlignment="1">
      <alignment horizontal="right" vertical="center"/>
    </xf>
    <xf numFmtId="0" fontId="5" fillId="0" borderId="0" xfId="0" applyFont="1" applyAlignment="1">
      <alignment horizontal="center" vertical="center"/>
    </xf>
    <xf numFmtId="0" fontId="4" fillId="0" borderId="0" xfId="0" applyFont="1" applyAlignment="1">
      <alignment horizontal="right" vertical="center"/>
    </xf>
    <xf numFmtId="0" fontId="0" fillId="0" borderId="10" xfId="0" applyBorder="1" applyAlignment="1">
      <alignment horizontal="center" vertical="center" wrapText="1"/>
    </xf>
    <xf numFmtId="0" fontId="0" fillId="0" borderId="22" xfId="0"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center" vertical="center" wrapText="1"/>
    </xf>
    <xf numFmtId="171" fontId="2" fillId="0" borderId="10" xfId="138" applyFont="1" applyFill="1" applyBorder="1" applyAlignment="1">
      <alignment horizontal="center" vertical="center" wrapText="1"/>
    </xf>
    <xf numFmtId="0" fontId="2" fillId="0" borderId="0" xfId="247" applyFont="1" applyFill="1" applyAlignment="1">
      <alignment horizontal="center" vertical="center" wrapText="1"/>
      <protection/>
    </xf>
    <xf numFmtId="0" fontId="2" fillId="0" borderId="0" xfId="247" applyFont="1" applyFill="1" applyAlignment="1">
      <alignment horizontal="left" vertical="center"/>
      <protection/>
    </xf>
    <xf numFmtId="0" fontId="15" fillId="0" borderId="0" xfId="247" applyFont="1" applyFill="1" applyAlignment="1">
      <alignment horizontal="center" vertical="center"/>
      <protection/>
    </xf>
    <xf numFmtId="0" fontId="2" fillId="0" borderId="10" xfId="247" applyFont="1" applyFill="1" applyBorder="1" applyAlignment="1">
      <alignment horizontal="center" vertical="center" wrapText="1"/>
      <protection/>
    </xf>
    <xf numFmtId="182" fontId="2" fillId="0" borderId="10" xfId="138" applyNumberFormat="1" applyFont="1" applyFill="1" applyBorder="1" applyAlignment="1">
      <alignment horizontal="center" vertical="center" wrapText="1"/>
    </xf>
  </cellXfs>
  <cellStyles count="337">
    <cellStyle name="Normal" xfId="0"/>
    <cellStyle name="_x0001_" xfId="15"/>
    <cellStyle name="&#13;&#10;JournalTemplate=C:\COMFO\CTALK\JOURSTD.TPL&#13;&#10;LbStateAddress=3 3 0 251 1 89 2 311&#13;&#10;LbStateJou" xfId="16"/>
    <cellStyle name="&#13;&#10;JournalTemplate=C:\COMFO\CTALK\JOURSTD.TPL&#13;&#10;LbStateAddress=3 3 0 251 1 89 2 311&#13;&#10;LbStateJou_SKHPTSNYT-2011" xfId="17"/>
    <cellStyle name="??" xfId="18"/>
    <cellStyle name="?? [0.00]_PRODUCT DETAIL Q1" xfId="19"/>
    <cellStyle name="?? [0]" xfId="20"/>
    <cellStyle name="???? [0.00]_PRODUCT DETAIL Q1" xfId="21"/>
    <cellStyle name="????_PRODUCT DETAIL Q1" xfId="22"/>
    <cellStyle name="???[0]_Book1" xfId="23"/>
    <cellStyle name="???_95" xfId="24"/>
    <cellStyle name="??_(????)??????" xfId="25"/>
    <cellStyle name="_KT (2)" xfId="26"/>
    <cellStyle name="_KT (2)_1" xfId="27"/>
    <cellStyle name="_KT (2)_2" xfId="28"/>
    <cellStyle name="_KT (2)_2_TG-TH" xfId="29"/>
    <cellStyle name="_KT (2)_3" xfId="30"/>
    <cellStyle name="_KT (2)_3_TG-TH" xfId="31"/>
    <cellStyle name="_KT (2)_4" xfId="32"/>
    <cellStyle name="_KT (2)_4_TG-TH" xfId="33"/>
    <cellStyle name="_KT (2)_5" xfId="34"/>
    <cellStyle name="_KT (2)_TG-TH" xfId="35"/>
    <cellStyle name="_KT_TG" xfId="36"/>
    <cellStyle name="_KT_TG_1" xfId="37"/>
    <cellStyle name="_KT_TG_2" xfId="38"/>
    <cellStyle name="_KT_TG_3" xfId="39"/>
    <cellStyle name="_KT_TG_4" xfId="40"/>
    <cellStyle name="_TG-TH" xfId="41"/>
    <cellStyle name="_TG-TH_1" xfId="42"/>
    <cellStyle name="_TG-TH_2" xfId="43"/>
    <cellStyle name="_TG-TH_3" xfId="44"/>
    <cellStyle name="_TG-TH_4" xfId="45"/>
    <cellStyle name="¹éºÐÀ²_      " xfId="46"/>
    <cellStyle name="20% - Accent1" xfId="47"/>
    <cellStyle name="20% - Accent2" xfId="48"/>
    <cellStyle name="20% - Accent3" xfId="49"/>
    <cellStyle name="20% - Accent4" xfId="50"/>
    <cellStyle name="20% - Accent5" xfId="51"/>
    <cellStyle name="20% - Accent6" xfId="52"/>
    <cellStyle name="40% - Accent1" xfId="53"/>
    <cellStyle name="40% - Accent2" xfId="54"/>
    <cellStyle name="40% - Accent3" xfId="55"/>
    <cellStyle name="40% - Accent4" xfId="56"/>
    <cellStyle name="40% - Accent5" xfId="57"/>
    <cellStyle name="40% - Accent6" xfId="58"/>
    <cellStyle name="52" xfId="59"/>
    <cellStyle name="60% - Accent1" xfId="60"/>
    <cellStyle name="60% - Accent2" xfId="61"/>
    <cellStyle name="60% - Accent3" xfId="62"/>
    <cellStyle name="60% - Accent4" xfId="63"/>
    <cellStyle name="60% - Accent5" xfId="64"/>
    <cellStyle name="60% - Accent6" xfId="65"/>
    <cellStyle name="Accent1" xfId="66"/>
    <cellStyle name="Accent2" xfId="67"/>
    <cellStyle name="Accent3" xfId="68"/>
    <cellStyle name="Accent4" xfId="69"/>
    <cellStyle name="Accent5" xfId="70"/>
    <cellStyle name="Accent6" xfId="71"/>
    <cellStyle name="ÅëÈ­ [0]_      " xfId="72"/>
    <cellStyle name="AeE­ [0]_INQUIRY ¿μ¾÷AßAø " xfId="73"/>
    <cellStyle name="ÅëÈ­_      " xfId="74"/>
    <cellStyle name="AeE­_INQUIRY ¿?¾÷AßAø " xfId="75"/>
    <cellStyle name="ÅëÈ­_L601CPT" xfId="76"/>
    <cellStyle name="ÄÞ¸¶ [0]_      " xfId="77"/>
    <cellStyle name="AÞ¸¶ [0]_INQUIRY ¿?¾÷AßAø " xfId="78"/>
    <cellStyle name="ÄÞ¸¶ [0]_L601CPT" xfId="79"/>
    <cellStyle name="ÄÞ¸¶_      " xfId="80"/>
    <cellStyle name="AÞ¸¶_INQUIRY ¿?¾÷AßAø " xfId="81"/>
    <cellStyle name="ÄÞ¸¶_L601CPT" xfId="82"/>
    <cellStyle name="AutoFormat Options" xfId="83"/>
    <cellStyle name="Bad" xfId="84"/>
    <cellStyle name="C?AØ_¿?¾÷CoE² " xfId="85"/>
    <cellStyle name="Ç¥ÁØ_      " xfId="86"/>
    <cellStyle name="C￥AØ_¿μ¾÷CoE² " xfId="87"/>
    <cellStyle name="Calculation" xfId="88"/>
    <cellStyle name="category" xfId="89"/>
    <cellStyle name="Cerrency_Sheet2_XANGDAU" xfId="90"/>
    <cellStyle name="Comma" xfId="91"/>
    <cellStyle name="Comma [0]" xfId="92"/>
    <cellStyle name="Comma 10" xfId="93"/>
    <cellStyle name="Comma 10 2" xfId="94"/>
    <cellStyle name="Comma 10 3" xfId="95"/>
    <cellStyle name="Comma 10 3 2" xfId="96"/>
    <cellStyle name="Comma 10 4" xfId="97"/>
    <cellStyle name="Comma 11" xfId="98"/>
    <cellStyle name="Comma 11 2" xfId="99"/>
    <cellStyle name="Comma 11_88482_93673" xfId="100"/>
    <cellStyle name="Comma 12" xfId="101"/>
    <cellStyle name="Comma 12 2" xfId="102"/>
    <cellStyle name="Comma 13" xfId="103"/>
    <cellStyle name="Comma 13 2" xfId="104"/>
    <cellStyle name="Comma 14" xfId="105"/>
    <cellStyle name="Comma 14 2" xfId="106"/>
    <cellStyle name="Comma 15" xfId="107"/>
    <cellStyle name="Comma 15 2" xfId="108"/>
    <cellStyle name="Comma 15 2 2" xfId="109"/>
    <cellStyle name="Comma 15 3" xfId="110"/>
    <cellStyle name="Comma 16" xfId="111"/>
    <cellStyle name="Comma 17" xfId="112"/>
    <cellStyle name="Comma 2" xfId="113"/>
    <cellStyle name="Comma 2 2" xfId="114"/>
    <cellStyle name="Comma 2 2 2" xfId="115"/>
    <cellStyle name="Comma 2 2 3" xfId="116"/>
    <cellStyle name="Comma 2 3" xfId="117"/>
    <cellStyle name="Comma 2 3 3 2" xfId="118"/>
    <cellStyle name="Comma 2 4" xfId="119"/>
    <cellStyle name="Comma 3" xfId="120"/>
    <cellStyle name="Comma 3 2" xfId="121"/>
    <cellStyle name="Comma 3 2 2" xfId="122"/>
    <cellStyle name="Comma 3 3" xfId="123"/>
    <cellStyle name="Comma 3 3 2" xfId="124"/>
    <cellStyle name="Comma 3 4" xfId="125"/>
    <cellStyle name="Comma 32" xfId="126"/>
    <cellStyle name="Comma 32 2" xfId="127"/>
    <cellStyle name="Comma 32 3" xfId="128"/>
    <cellStyle name="Comma 4" xfId="129"/>
    <cellStyle name="Comma 4 2" xfId="130"/>
    <cellStyle name="Comma 4 3" xfId="131"/>
    <cellStyle name="Comma 5" xfId="132"/>
    <cellStyle name="Comma 5 2" xfId="133"/>
    <cellStyle name="Comma 6" xfId="134"/>
    <cellStyle name="Comma 6 2" xfId="135"/>
    <cellStyle name="Comma 6 2 3 2" xfId="136"/>
    <cellStyle name="Comma 6 2 3 2 2" xfId="137"/>
    <cellStyle name="Comma 6 2_88345_93552" xfId="138"/>
    <cellStyle name="Comma 6 2_88345_93552 2" xfId="139"/>
    <cellStyle name="Comma 7" xfId="140"/>
    <cellStyle name="Comma 7 2" xfId="141"/>
    <cellStyle name="Comma 8" xfId="142"/>
    <cellStyle name="Comma 9" xfId="143"/>
    <cellStyle name="Comma 9 2" xfId="144"/>
    <cellStyle name="Comma 9 3" xfId="145"/>
    <cellStyle name="comma zerodec" xfId="146"/>
    <cellStyle name="Comma0" xfId="147"/>
    <cellStyle name="cong" xfId="148"/>
    <cellStyle name="Currency" xfId="149"/>
    <cellStyle name="Currency [0]" xfId="150"/>
    <cellStyle name="Currency0" xfId="151"/>
    <cellStyle name="Currency1" xfId="152"/>
    <cellStyle name="Check Cell" xfId="153"/>
    <cellStyle name="Date" xfId="154"/>
    <cellStyle name="DAUDE" xfId="155"/>
    <cellStyle name="Dấu phẩy 2" xfId="156"/>
    <cellStyle name="Dấu phẩy 2 2 3" xfId="157"/>
    <cellStyle name="Dấu phẩy 2 3" xfId="158"/>
    <cellStyle name="Dollar (zero dec)" xfId="159"/>
    <cellStyle name="Explanatory Text" xfId="160"/>
    <cellStyle name="Fixed" xfId="161"/>
    <cellStyle name="Good" xfId="162"/>
    <cellStyle name="Grey" xfId="163"/>
    <cellStyle name="gia" xfId="164"/>
    <cellStyle name="HEADER" xfId="165"/>
    <cellStyle name="Header1" xfId="166"/>
    <cellStyle name="Header2" xfId="167"/>
    <cellStyle name="Heading 1" xfId="168"/>
    <cellStyle name="Heading 2" xfId="169"/>
    <cellStyle name="Heading 3" xfId="170"/>
    <cellStyle name="Heading 4" xfId="171"/>
    <cellStyle name="HEADING1" xfId="172"/>
    <cellStyle name="HEADING2" xfId="173"/>
    <cellStyle name="Input" xfId="174"/>
    <cellStyle name="Input [yellow]" xfId="175"/>
    <cellStyle name="Linked Cell" xfId="176"/>
    <cellStyle name="Loai CBDT" xfId="177"/>
    <cellStyle name="Loai CT" xfId="178"/>
    <cellStyle name="Loai GD" xfId="179"/>
    <cellStyle name="Model" xfId="180"/>
    <cellStyle name="Monétaire [0]_TARIFFS DB" xfId="181"/>
    <cellStyle name="Monétaire_TARIFFS DB" xfId="182"/>
    <cellStyle name="n" xfId="183"/>
    <cellStyle name="Neutral" xfId="184"/>
    <cellStyle name="New Times Roman" xfId="185"/>
    <cellStyle name="No" xfId="186"/>
    <cellStyle name="no dec" xfId="187"/>
    <cellStyle name="Normal - Style1" xfId="188"/>
    <cellStyle name="Normal - Style1 2" xfId="189"/>
    <cellStyle name="Normal - Style1 3" xfId="190"/>
    <cellStyle name="Normal 10" xfId="191"/>
    <cellStyle name="Normal 10 2" xfId="192"/>
    <cellStyle name="Normal 10 3" xfId="193"/>
    <cellStyle name="Normal 11" xfId="194"/>
    <cellStyle name="Normal 11 3 3" xfId="195"/>
    <cellStyle name="Normal 12" xfId="196"/>
    <cellStyle name="Normal 13" xfId="197"/>
    <cellStyle name="Normal 14" xfId="198"/>
    <cellStyle name="Normal 15" xfId="199"/>
    <cellStyle name="Normal 16" xfId="200"/>
    <cellStyle name="Normal 17" xfId="201"/>
    <cellStyle name="Normal 18" xfId="202"/>
    <cellStyle name="Normal 19" xfId="203"/>
    <cellStyle name="Normal 2" xfId="204"/>
    <cellStyle name="Normal 2 2" xfId="205"/>
    <cellStyle name="Normal 2 2 2" xfId="206"/>
    <cellStyle name="Normal 2 2 2 2" xfId="207"/>
    <cellStyle name="Normal 2 2 2 2 2" xfId="208"/>
    <cellStyle name="Normal 2 2 2 3" xfId="209"/>
    <cellStyle name="Normal 2 2 3" xfId="210"/>
    <cellStyle name="Normal 2 2 4" xfId="211"/>
    <cellStyle name="Normal 2 3" xfId="212"/>
    <cellStyle name="Normal 2 3 2" xfId="213"/>
    <cellStyle name="Normal 2 4" xfId="214"/>
    <cellStyle name="Normal 2 4 2" xfId="215"/>
    <cellStyle name="Normal 2 5" xfId="216"/>
    <cellStyle name="Normal 2 60" xfId="217"/>
    <cellStyle name="Normal 20" xfId="218"/>
    <cellStyle name="Normal 21" xfId="219"/>
    <cellStyle name="Normal 22" xfId="220"/>
    <cellStyle name="Normal 23" xfId="221"/>
    <cellStyle name="Normal 24" xfId="222"/>
    <cellStyle name="Normal 25" xfId="223"/>
    <cellStyle name="Normal 26" xfId="224"/>
    <cellStyle name="Normal 27" xfId="225"/>
    <cellStyle name="Normal 28" xfId="226"/>
    <cellStyle name="Normal 28 2" xfId="227"/>
    <cellStyle name="Normal 29" xfId="228"/>
    <cellStyle name="Normal 3" xfId="229"/>
    <cellStyle name="Normal 3 10" xfId="230"/>
    <cellStyle name="Normal 3 2" xfId="231"/>
    <cellStyle name="Normal 3 2 2" xfId="232"/>
    <cellStyle name="Normal 3 20" xfId="233"/>
    <cellStyle name="Normal 3 3" xfId="234"/>
    <cellStyle name="Normal 3 60" xfId="235"/>
    <cellStyle name="Normal 3 61" xfId="236"/>
    <cellStyle name="Normal 3 62" xfId="237"/>
    <cellStyle name="Normal 3 67" xfId="238"/>
    <cellStyle name="Normal 3 68" xfId="239"/>
    <cellStyle name="Normal 3 69" xfId="240"/>
    <cellStyle name="Normal 3 70" xfId="241"/>
    <cellStyle name="Normal 3 73" xfId="242"/>
    <cellStyle name="Normal 30" xfId="243"/>
    <cellStyle name="Normal 31" xfId="244"/>
    <cellStyle name="Normal 32" xfId="245"/>
    <cellStyle name="Normal 33" xfId="246"/>
    <cellStyle name="Normal 34" xfId="247"/>
    <cellStyle name="Normal 35" xfId="248"/>
    <cellStyle name="Normal 36" xfId="249"/>
    <cellStyle name="Normal 37" xfId="250"/>
    <cellStyle name="Normal 38" xfId="251"/>
    <cellStyle name="Normal 39" xfId="252"/>
    <cellStyle name="Normal 4" xfId="253"/>
    <cellStyle name="Normal 4 2" xfId="254"/>
    <cellStyle name="Normal 40" xfId="255"/>
    <cellStyle name="Normal 41" xfId="256"/>
    <cellStyle name="Normal 42" xfId="257"/>
    <cellStyle name="Normal 43" xfId="258"/>
    <cellStyle name="Normal 44" xfId="259"/>
    <cellStyle name="Normal 45" xfId="260"/>
    <cellStyle name="Normal 46" xfId="261"/>
    <cellStyle name="Normal 47" xfId="262"/>
    <cellStyle name="Normal 48" xfId="263"/>
    <cellStyle name="Normal 49" xfId="264"/>
    <cellStyle name="Normal 5" xfId="265"/>
    <cellStyle name="Normal 5 2" xfId="266"/>
    <cellStyle name="Normal 5 2 2" xfId="267"/>
    <cellStyle name="Normal 5 2 3" xfId="268"/>
    <cellStyle name="Normal 5 3" xfId="269"/>
    <cellStyle name="Normal 50" xfId="270"/>
    <cellStyle name="Normal 51" xfId="271"/>
    <cellStyle name="Normal 52" xfId="272"/>
    <cellStyle name="Normal 53" xfId="273"/>
    <cellStyle name="Normal 54" xfId="274"/>
    <cellStyle name="Normal 59" xfId="275"/>
    <cellStyle name="Normal 6" xfId="276"/>
    <cellStyle name="Normal 6 2" xfId="277"/>
    <cellStyle name="Normal 6 3" xfId="278"/>
    <cellStyle name="Normal 60" xfId="279"/>
    <cellStyle name="Normal 7" xfId="280"/>
    <cellStyle name="Normal 7 2" xfId="281"/>
    <cellStyle name="Normal 8" xfId="282"/>
    <cellStyle name="Normal 8 2" xfId="283"/>
    <cellStyle name="Normal 9" xfId="284"/>
    <cellStyle name="Normal 9 2" xfId="285"/>
    <cellStyle name="Normal 9 3" xfId="286"/>
    <cellStyle name="Normal_BC va kehoach2010-2015 danso bancuoi" xfId="287"/>
    <cellStyle name="Normal_Bieu mau (CV )" xfId="288"/>
    <cellStyle name="Normal_Bieu So KH 11.11.2008 2" xfId="289"/>
    <cellStyle name="Normal_Bieu So KH 11.11.2008_Bieu so lieu KH 2010 ((1493))" xfId="290"/>
    <cellStyle name="Normal_Chi tieu nam 2009 moi" xfId="291"/>
    <cellStyle name="Normal_Chi tieu nam 2009 moi 2 2" xfId="292"/>
    <cellStyle name="Normal_Chi tieu PTSNYT và hoat dong tinh 2009" xfId="293"/>
    <cellStyle name="Normal_Chi tieu PTSNYT và hoat dong tinh 2009_KH 2012 Nganh Y te" xfId="294"/>
    <cellStyle name="Normal_Sheet1" xfId="295"/>
    <cellStyle name="Normal_Uoc thuc hien KH 2014 - Vu KTCN lam" xfId="296"/>
    <cellStyle name="Normal_Vu Quan ly QH_BieuBaocaoQuyhoach2011" xfId="297"/>
    <cellStyle name="Note" xfId="298"/>
    <cellStyle name="Output" xfId="299"/>
    <cellStyle name="Percent" xfId="300"/>
    <cellStyle name="Percent [2]" xfId="301"/>
    <cellStyle name="Percent 18" xfId="302"/>
    <cellStyle name="Percent 2" xfId="303"/>
    <cellStyle name="Percent 2 2" xfId="304"/>
    <cellStyle name="Percent 2 3" xfId="305"/>
    <cellStyle name="Percent 2 6" xfId="306"/>
    <cellStyle name="Percent 3" xfId="307"/>
    <cellStyle name="Percent 3 2" xfId="308"/>
    <cellStyle name="Percent 5 3 2" xfId="309"/>
    <cellStyle name="Phần trăm 2" xfId="310"/>
    <cellStyle name="Phần trăm 2 2" xfId="311"/>
    <cellStyle name="Style 1" xfId="312"/>
    <cellStyle name="Style 2" xfId="313"/>
    <cellStyle name="Style 3" xfId="314"/>
    <cellStyle name="Style 4" xfId="315"/>
    <cellStyle name="Style1" xfId="316"/>
    <cellStyle name="Style2" xfId="317"/>
    <cellStyle name="Style3" xfId="318"/>
    <cellStyle name="Style4" xfId="319"/>
    <cellStyle name="Style5" xfId="320"/>
    <cellStyle name="Style6" xfId="321"/>
    <cellStyle name="Style7" xfId="322"/>
    <cellStyle name="subhead" xfId="323"/>
    <cellStyle name="Title" xfId="324"/>
    <cellStyle name="Tong so" xfId="325"/>
    <cellStyle name="tong so 1" xfId="326"/>
    <cellStyle name="Total" xfId="327"/>
    <cellStyle name="thvt" xfId="328"/>
    <cellStyle name="Warning Text" xfId="329"/>
    <cellStyle name="xuan" xfId="330"/>
    <cellStyle name=" [0.00]_ Att. 1- Cover" xfId="331"/>
    <cellStyle name="_ Att. 1- Cover" xfId="332"/>
    <cellStyle name="?_ Att. 1- Cover" xfId="333"/>
    <cellStyle name="똿뗦먛귟 [0.00]_PRODUCT DETAIL Q1" xfId="334"/>
    <cellStyle name="똿뗦먛귟_PRODUCT DETAIL Q1" xfId="335"/>
    <cellStyle name="믅됞 [0.00]_PRODUCT DETAIL Q1" xfId="336"/>
    <cellStyle name="믅됞_PRODUCT DETAIL Q1" xfId="337"/>
    <cellStyle name="백분율_95" xfId="338"/>
    <cellStyle name="뷭?_BOOKSHIP" xfId="339"/>
    <cellStyle name="콤마 [0]_1202" xfId="340"/>
    <cellStyle name="콤마_1202" xfId="341"/>
    <cellStyle name="통화 [0]_1202" xfId="342"/>
    <cellStyle name="통화_1202" xfId="343"/>
    <cellStyle name="표준_(정보부문)월별인원계획" xfId="344"/>
    <cellStyle name="一般_00Q3902REV.1" xfId="345"/>
    <cellStyle name="千分位[0]_00Q3902REV.1" xfId="346"/>
    <cellStyle name="千分位_00Q3902REV.1" xfId="347"/>
    <cellStyle name="貨幣 [0]_00Q3902REV.1" xfId="348"/>
    <cellStyle name="貨幣[0]_BRE" xfId="349"/>
    <cellStyle name="貨幣_00Q3902REV.1" xfId="350"/>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28575</xdr:colOff>
      <xdr:row>77</xdr:row>
      <xdr:rowOff>0</xdr:rowOff>
    </xdr:from>
    <xdr:to>
      <xdr:col>18</xdr:col>
      <xdr:colOff>438150</xdr:colOff>
      <xdr:row>77</xdr:row>
      <xdr:rowOff>0</xdr:rowOff>
    </xdr:to>
    <xdr:sp>
      <xdr:nvSpPr>
        <xdr:cNvPr id="1" name="Line 1"/>
        <xdr:cNvSpPr>
          <a:spLocks/>
        </xdr:cNvSpPr>
      </xdr:nvSpPr>
      <xdr:spPr>
        <a:xfrm flipV="1">
          <a:off x="11811000" y="169926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77</xdr:row>
      <xdr:rowOff>0</xdr:rowOff>
    </xdr:from>
    <xdr:to>
      <xdr:col>19</xdr:col>
      <xdr:colOff>466725</xdr:colOff>
      <xdr:row>77</xdr:row>
      <xdr:rowOff>0</xdr:rowOff>
    </xdr:to>
    <xdr:sp>
      <xdr:nvSpPr>
        <xdr:cNvPr id="2" name="Line 2"/>
        <xdr:cNvSpPr>
          <a:spLocks/>
        </xdr:cNvSpPr>
      </xdr:nvSpPr>
      <xdr:spPr>
        <a:xfrm flipV="1">
          <a:off x="12430125" y="16992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20</xdr:col>
      <xdr:colOff>0</xdr:colOff>
      <xdr:row>78</xdr:row>
      <xdr:rowOff>190500</xdr:rowOff>
    </xdr:from>
    <xdr:to>
      <xdr:col>20</xdr:col>
      <xdr:colOff>0</xdr:colOff>
      <xdr:row>79</xdr:row>
      <xdr:rowOff>200025</xdr:rowOff>
    </xdr:to>
    <xdr:sp>
      <xdr:nvSpPr>
        <xdr:cNvPr id="3" name="Line 5"/>
        <xdr:cNvSpPr>
          <a:spLocks/>
        </xdr:cNvSpPr>
      </xdr:nvSpPr>
      <xdr:spPr>
        <a:xfrm flipH="1">
          <a:off x="13125450" y="17383125"/>
          <a:ext cx="0" cy="209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28575</xdr:colOff>
      <xdr:row>77</xdr:row>
      <xdr:rowOff>0</xdr:rowOff>
    </xdr:from>
    <xdr:to>
      <xdr:col>18</xdr:col>
      <xdr:colOff>438150</xdr:colOff>
      <xdr:row>77</xdr:row>
      <xdr:rowOff>0</xdr:rowOff>
    </xdr:to>
    <xdr:sp>
      <xdr:nvSpPr>
        <xdr:cNvPr id="4" name="Line 1"/>
        <xdr:cNvSpPr>
          <a:spLocks/>
        </xdr:cNvSpPr>
      </xdr:nvSpPr>
      <xdr:spPr>
        <a:xfrm flipV="1">
          <a:off x="11811000" y="16992600"/>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9525</xdr:colOff>
      <xdr:row>77</xdr:row>
      <xdr:rowOff>0</xdr:rowOff>
    </xdr:from>
    <xdr:to>
      <xdr:col>19</xdr:col>
      <xdr:colOff>466725</xdr:colOff>
      <xdr:row>77</xdr:row>
      <xdr:rowOff>0</xdr:rowOff>
    </xdr:to>
    <xdr:sp>
      <xdr:nvSpPr>
        <xdr:cNvPr id="5" name="Line 2"/>
        <xdr:cNvSpPr>
          <a:spLocks/>
        </xdr:cNvSpPr>
      </xdr:nvSpPr>
      <xdr:spPr>
        <a:xfrm flipV="1">
          <a:off x="12430125" y="16992600"/>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152400</xdr:colOff>
      <xdr:row>6</xdr:row>
      <xdr:rowOff>219075</xdr:rowOff>
    </xdr:from>
    <xdr:to>
      <xdr:col>17</xdr:col>
      <xdr:colOff>561975</xdr:colOff>
      <xdr:row>6</xdr:row>
      <xdr:rowOff>219075</xdr:rowOff>
    </xdr:to>
    <xdr:sp>
      <xdr:nvSpPr>
        <xdr:cNvPr id="6" name="Line 1"/>
        <xdr:cNvSpPr>
          <a:spLocks/>
        </xdr:cNvSpPr>
      </xdr:nvSpPr>
      <xdr:spPr>
        <a:xfrm flipV="1">
          <a:off x="11306175" y="17430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7</xdr:row>
      <xdr:rowOff>0</xdr:rowOff>
    </xdr:from>
    <xdr:to>
      <xdr:col>18</xdr:col>
      <xdr:colOff>466725</xdr:colOff>
      <xdr:row>7</xdr:row>
      <xdr:rowOff>0</xdr:rowOff>
    </xdr:to>
    <xdr:sp>
      <xdr:nvSpPr>
        <xdr:cNvPr id="7" name="Line 2"/>
        <xdr:cNvSpPr>
          <a:spLocks/>
        </xdr:cNvSpPr>
      </xdr:nvSpPr>
      <xdr:spPr>
        <a:xfrm flipV="1">
          <a:off x="11791950" y="17430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19</xdr:col>
      <xdr:colOff>0</xdr:colOff>
      <xdr:row>8</xdr:row>
      <xdr:rowOff>152400</xdr:rowOff>
    </xdr:from>
    <xdr:to>
      <xdr:col>19</xdr:col>
      <xdr:colOff>0</xdr:colOff>
      <xdr:row>9</xdr:row>
      <xdr:rowOff>180975</xdr:rowOff>
    </xdr:to>
    <xdr:sp>
      <xdr:nvSpPr>
        <xdr:cNvPr id="8" name="Line 5"/>
        <xdr:cNvSpPr>
          <a:spLocks/>
        </xdr:cNvSpPr>
      </xdr:nvSpPr>
      <xdr:spPr>
        <a:xfrm flipH="1">
          <a:off x="12420600" y="2114550"/>
          <a:ext cx="0" cy="3810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152400</xdr:colOff>
      <xdr:row>6</xdr:row>
      <xdr:rowOff>219075</xdr:rowOff>
    </xdr:from>
    <xdr:to>
      <xdr:col>17</xdr:col>
      <xdr:colOff>561975</xdr:colOff>
      <xdr:row>6</xdr:row>
      <xdr:rowOff>219075</xdr:rowOff>
    </xdr:to>
    <xdr:sp>
      <xdr:nvSpPr>
        <xdr:cNvPr id="9" name="Line 1"/>
        <xdr:cNvSpPr>
          <a:spLocks/>
        </xdr:cNvSpPr>
      </xdr:nvSpPr>
      <xdr:spPr>
        <a:xfrm flipV="1">
          <a:off x="11306175" y="174307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7</xdr:row>
      <xdr:rowOff>0</xdr:rowOff>
    </xdr:from>
    <xdr:to>
      <xdr:col>18</xdr:col>
      <xdr:colOff>466725</xdr:colOff>
      <xdr:row>7</xdr:row>
      <xdr:rowOff>0</xdr:rowOff>
    </xdr:to>
    <xdr:sp>
      <xdr:nvSpPr>
        <xdr:cNvPr id="10" name="Line 2"/>
        <xdr:cNvSpPr>
          <a:spLocks/>
        </xdr:cNvSpPr>
      </xdr:nvSpPr>
      <xdr:spPr>
        <a:xfrm flipV="1">
          <a:off x="11791950" y="1743075"/>
          <a:ext cx="4572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9525</xdr:colOff>
      <xdr:row>5</xdr:row>
      <xdr:rowOff>0</xdr:rowOff>
    </xdr:from>
    <xdr:to>
      <xdr:col>18</xdr:col>
      <xdr:colOff>495300</xdr:colOff>
      <xdr:row>7</xdr:row>
      <xdr:rowOff>9525</xdr:rowOff>
    </xdr:to>
    <xdr:sp>
      <xdr:nvSpPr>
        <xdr:cNvPr id="1" name="Line 2"/>
        <xdr:cNvSpPr>
          <a:spLocks/>
        </xdr:cNvSpPr>
      </xdr:nvSpPr>
      <xdr:spPr>
        <a:xfrm flipH="1">
          <a:off x="12296775" y="1247775"/>
          <a:ext cx="4857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0</xdr:colOff>
      <xdr:row>5</xdr:row>
      <xdr:rowOff>28575</xdr:rowOff>
    </xdr:from>
    <xdr:to>
      <xdr:col>17</xdr:col>
      <xdr:colOff>495300</xdr:colOff>
      <xdr:row>6</xdr:row>
      <xdr:rowOff>238125</xdr:rowOff>
    </xdr:to>
    <xdr:sp>
      <xdr:nvSpPr>
        <xdr:cNvPr id="2" name="Line 5"/>
        <xdr:cNvSpPr>
          <a:spLocks/>
        </xdr:cNvSpPr>
      </xdr:nvSpPr>
      <xdr:spPr>
        <a:xfrm flipH="1">
          <a:off x="11772900" y="1276350"/>
          <a:ext cx="4953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5</xdr:row>
      <xdr:rowOff>0</xdr:rowOff>
    </xdr:from>
    <xdr:to>
      <xdr:col>18</xdr:col>
      <xdr:colOff>495300</xdr:colOff>
      <xdr:row>7</xdr:row>
      <xdr:rowOff>9525</xdr:rowOff>
    </xdr:to>
    <xdr:sp>
      <xdr:nvSpPr>
        <xdr:cNvPr id="3" name="Line 2"/>
        <xdr:cNvSpPr>
          <a:spLocks/>
        </xdr:cNvSpPr>
      </xdr:nvSpPr>
      <xdr:spPr>
        <a:xfrm flipH="1">
          <a:off x="12296775" y="1247775"/>
          <a:ext cx="4857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0</xdr:colOff>
      <xdr:row>5</xdr:row>
      <xdr:rowOff>28575</xdr:rowOff>
    </xdr:from>
    <xdr:to>
      <xdr:col>17</xdr:col>
      <xdr:colOff>495300</xdr:colOff>
      <xdr:row>6</xdr:row>
      <xdr:rowOff>238125</xdr:rowOff>
    </xdr:to>
    <xdr:sp>
      <xdr:nvSpPr>
        <xdr:cNvPr id="4" name="Line 5"/>
        <xdr:cNvSpPr>
          <a:spLocks/>
        </xdr:cNvSpPr>
      </xdr:nvSpPr>
      <xdr:spPr>
        <a:xfrm flipH="1">
          <a:off x="11772900" y="1276350"/>
          <a:ext cx="4953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5</xdr:row>
      <xdr:rowOff>0</xdr:rowOff>
    </xdr:from>
    <xdr:to>
      <xdr:col>18</xdr:col>
      <xdr:colOff>495300</xdr:colOff>
      <xdr:row>7</xdr:row>
      <xdr:rowOff>9525</xdr:rowOff>
    </xdr:to>
    <xdr:sp>
      <xdr:nvSpPr>
        <xdr:cNvPr id="5" name="Line 2"/>
        <xdr:cNvSpPr>
          <a:spLocks/>
        </xdr:cNvSpPr>
      </xdr:nvSpPr>
      <xdr:spPr>
        <a:xfrm flipH="1">
          <a:off x="12296775" y="1247775"/>
          <a:ext cx="4857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17</xdr:col>
      <xdr:colOff>0</xdr:colOff>
      <xdr:row>5</xdr:row>
      <xdr:rowOff>28575</xdr:rowOff>
    </xdr:from>
    <xdr:to>
      <xdr:col>17</xdr:col>
      <xdr:colOff>495300</xdr:colOff>
      <xdr:row>6</xdr:row>
      <xdr:rowOff>238125</xdr:rowOff>
    </xdr:to>
    <xdr:sp>
      <xdr:nvSpPr>
        <xdr:cNvPr id="6" name="Line 5"/>
        <xdr:cNvSpPr>
          <a:spLocks/>
        </xdr:cNvSpPr>
      </xdr:nvSpPr>
      <xdr:spPr>
        <a:xfrm flipH="1">
          <a:off x="11772900" y="1276350"/>
          <a:ext cx="495300" cy="409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18</xdr:col>
      <xdr:colOff>9525</xdr:colOff>
      <xdr:row>5</xdr:row>
      <xdr:rowOff>0</xdr:rowOff>
    </xdr:from>
    <xdr:to>
      <xdr:col>18</xdr:col>
      <xdr:colOff>495300</xdr:colOff>
      <xdr:row>7</xdr:row>
      <xdr:rowOff>9525</xdr:rowOff>
    </xdr:to>
    <xdr:sp>
      <xdr:nvSpPr>
        <xdr:cNvPr id="7" name="Line 2"/>
        <xdr:cNvSpPr>
          <a:spLocks/>
        </xdr:cNvSpPr>
      </xdr:nvSpPr>
      <xdr:spPr>
        <a:xfrm flipH="1">
          <a:off x="12296775" y="1247775"/>
          <a:ext cx="485775" cy="447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19050</xdr:colOff>
      <xdr:row>5</xdr:row>
      <xdr:rowOff>295275</xdr:rowOff>
    </xdr:from>
    <xdr:to>
      <xdr:col>22</xdr:col>
      <xdr:colOff>361950</xdr:colOff>
      <xdr:row>6</xdr:row>
      <xdr:rowOff>0</xdr:rowOff>
    </xdr:to>
    <xdr:sp>
      <xdr:nvSpPr>
        <xdr:cNvPr id="1" name="Straight Connector 2"/>
        <xdr:cNvSpPr>
          <a:spLocks/>
        </xdr:cNvSpPr>
      </xdr:nvSpPr>
      <xdr:spPr>
        <a:xfrm rot="10800000" flipV="1">
          <a:off x="12715875" y="1371600"/>
          <a:ext cx="342900" cy="1905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twoCellAnchor>
    <xdr:from>
      <xdr:col>21</xdr:col>
      <xdr:colOff>647700</xdr:colOff>
      <xdr:row>5</xdr:row>
      <xdr:rowOff>381000</xdr:rowOff>
    </xdr:from>
    <xdr:to>
      <xdr:col>22</xdr:col>
      <xdr:colOff>333375</xdr:colOff>
      <xdr:row>6</xdr:row>
      <xdr:rowOff>104775</xdr:rowOff>
    </xdr:to>
    <xdr:sp>
      <xdr:nvSpPr>
        <xdr:cNvPr id="2" name="Straight Connector 4"/>
        <xdr:cNvSpPr>
          <a:spLocks/>
        </xdr:cNvSpPr>
      </xdr:nvSpPr>
      <xdr:spPr>
        <a:xfrm rot="10800000" flipV="1">
          <a:off x="12687300" y="1457325"/>
          <a:ext cx="342900" cy="2095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T64"/>
  <sheetViews>
    <sheetView view="pageBreakPreview" zoomScaleNormal="115" zoomScaleSheetLayoutView="100" zoomScalePageLayoutView="0" workbookViewId="0" topLeftCell="A1">
      <selection activeCell="B9" sqref="B9"/>
    </sheetView>
  </sheetViews>
  <sheetFormatPr defaultColWidth="9.00390625" defaultRowHeight="15.75"/>
  <cols>
    <col min="1" max="1" width="3.625" style="122" customWidth="1"/>
    <col min="2" max="2" width="42.625" style="122" customWidth="1"/>
    <col min="3" max="3" width="10.625" style="122" customWidth="1"/>
    <col min="4" max="4" width="13.25390625" style="162" customWidth="1"/>
    <col min="5" max="5" width="12.625" style="162" customWidth="1"/>
    <col min="6" max="6" width="12.00390625" style="162" hidden="1" customWidth="1"/>
    <col min="7" max="7" width="12.375" style="162" customWidth="1"/>
    <col min="8" max="9" width="11.75390625" style="163" customWidth="1"/>
    <col min="10" max="10" width="12.75390625" style="162" customWidth="1"/>
    <col min="11" max="11" width="14.75390625" style="162" customWidth="1"/>
    <col min="12" max="12" width="16.00390625" style="122" hidden="1" customWidth="1"/>
    <col min="13" max="13" width="17.50390625" style="122" hidden="1" customWidth="1"/>
    <col min="14" max="14" width="0" style="122" hidden="1" customWidth="1"/>
    <col min="15" max="15" width="25.125" style="122" hidden="1" customWidth="1"/>
    <col min="16" max="16" width="9.00390625" style="122" customWidth="1"/>
    <col min="17" max="17" width="11.875" style="122" bestFit="1" customWidth="1"/>
    <col min="18" max="18" width="9.00390625" style="122" customWidth="1"/>
    <col min="19" max="19" width="10.875" style="122" customWidth="1"/>
    <col min="20" max="16384" width="9.00390625" style="122" customWidth="1"/>
  </cols>
  <sheetData>
    <row r="1" spans="1:11" ht="18.75" customHeight="1">
      <c r="A1" s="104"/>
      <c r="B1" s="4"/>
      <c r="C1" s="4"/>
      <c r="D1" s="149"/>
      <c r="E1" s="149"/>
      <c r="F1" s="149"/>
      <c r="G1" s="149"/>
      <c r="H1" s="150"/>
      <c r="I1" s="1374" t="s">
        <v>449</v>
      </c>
      <c r="J1" s="1374"/>
      <c r="K1" s="1374"/>
    </row>
    <row r="2" spans="1:11" ht="21" customHeight="1">
      <c r="A2" s="1375" t="s">
        <v>1</v>
      </c>
      <c r="B2" s="1375"/>
      <c r="C2" s="1375"/>
      <c r="D2" s="1375"/>
      <c r="E2" s="1375"/>
      <c r="F2" s="1375"/>
      <c r="G2" s="1375"/>
      <c r="H2" s="1375"/>
      <c r="I2" s="1375"/>
      <c r="J2" s="1375"/>
      <c r="K2" s="1375"/>
    </row>
    <row r="3" spans="1:11" s="262" customFormat="1" ht="24.75" customHeight="1">
      <c r="A3" s="1376" t="s">
        <v>1277</v>
      </c>
      <c r="B3" s="1376"/>
      <c r="C3" s="1376"/>
      <c r="D3" s="1376"/>
      <c r="E3" s="1376"/>
      <c r="F3" s="1376"/>
      <c r="G3" s="1376"/>
      <c r="H3" s="1376"/>
      <c r="I3" s="1376"/>
      <c r="J3" s="1376"/>
      <c r="K3" s="1376"/>
    </row>
    <row r="4" spans="1:11" s="262" customFormat="1" ht="22.5" customHeight="1">
      <c r="A4" s="1373" t="s">
        <v>1399</v>
      </c>
      <c r="B4" s="1373"/>
      <c r="C4" s="1373"/>
      <c r="D4" s="1373"/>
      <c r="E4" s="1373"/>
      <c r="F4" s="1373"/>
      <c r="G4" s="1373"/>
      <c r="H4" s="1373"/>
      <c r="I4" s="1373"/>
      <c r="J4" s="1373"/>
      <c r="K4" s="1373"/>
    </row>
    <row r="5" spans="1:11" ht="15.75">
      <c r="A5" s="4"/>
      <c r="B5" s="4"/>
      <c r="C5" s="4"/>
      <c r="D5" s="149"/>
      <c r="E5" s="149"/>
      <c r="F5" s="149"/>
      <c r="G5" s="149"/>
      <c r="H5" s="150"/>
      <c r="I5" s="150"/>
      <c r="J5" s="149"/>
      <c r="K5" s="149"/>
    </row>
    <row r="6" spans="1:11" s="105" customFormat="1" ht="26.25" customHeight="1">
      <c r="A6" s="1369" t="s">
        <v>2</v>
      </c>
      <c r="B6" s="1369" t="s">
        <v>3</v>
      </c>
      <c r="C6" s="1369" t="s">
        <v>4</v>
      </c>
      <c r="D6" s="1369" t="s">
        <v>1278</v>
      </c>
      <c r="E6" s="1370" t="s">
        <v>1279</v>
      </c>
      <c r="F6" s="1371"/>
      <c r="G6" s="1371"/>
      <c r="H6" s="1371"/>
      <c r="I6" s="1372"/>
      <c r="J6" s="1369" t="s">
        <v>1282</v>
      </c>
      <c r="K6" s="1369" t="s">
        <v>1283</v>
      </c>
    </row>
    <row r="7" spans="1:11" s="105" customFormat="1" ht="81" customHeight="1">
      <c r="A7" s="1369"/>
      <c r="B7" s="1369"/>
      <c r="C7" s="1369"/>
      <c r="D7" s="1369"/>
      <c r="E7" s="19" t="s">
        <v>5</v>
      </c>
      <c r="F7" s="19" t="s">
        <v>450</v>
      </c>
      <c r="G7" s="19" t="s">
        <v>7</v>
      </c>
      <c r="H7" s="151" t="s">
        <v>1280</v>
      </c>
      <c r="I7" s="151" t="s">
        <v>1281</v>
      </c>
      <c r="J7" s="1369"/>
      <c r="K7" s="1369"/>
    </row>
    <row r="8" spans="1:11" s="154" customFormat="1" ht="22.5" customHeight="1">
      <c r="A8" s="152">
        <v>1</v>
      </c>
      <c r="B8" s="152">
        <v>2</v>
      </c>
      <c r="C8" s="152">
        <v>3</v>
      </c>
      <c r="D8" s="152">
        <v>4</v>
      </c>
      <c r="E8" s="152">
        <v>5</v>
      </c>
      <c r="F8" s="152">
        <v>6</v>
      </c>
      <c r="G8" s="152">
        <v>6</v>
      </c>
      <c r="H8" s="153" t="s">
        <v>981</v>
      </c>
      <c r="I8" s="153" t="s">
        <v>982</v>
      </c>
      <c r="J8" s="152">
        <v>9</v>
      </c>
      <c r="K8" s="152" t="s">
        <v>1121</v>
      </c>
    </row>
    <row r="9" spans="1:17" s="4" customFormat="1" ht="39.75" customHeight="1">
      <c r="A9" s="10">
        <v>1</v>
      </c>
      <c r="B9" s="155" t="s">
        <v>8</v>
      </c>
      <c r="C9" s="10" t="s">
        <v>9</v>
      </c>
      <c r="D9" s="553">
        <f>D11+D13+D15+D17</f>
        <v>10578.94432440897</v>
      </c>
      <c r="E9" s="553">
        <f>E11+E13+E15+E17</f>
        <v>11237.067931399999</v>
      </c>
      <c r="F9" s="553">
        <f>F11+F13+F15+F17</f>
        <v>0</v>
      </c>
      <c r="G9" s="553">
        <f>G11+G13+G15+G17</f>
        <v>11340.870392913856</v>
      </c>
      <c r="H9" s="553">
        <f>G9/D9*100</f>
        <v>107.2022882921019</v>
      </c>
      <c r="I9" s="553">
        <f>G9/E9*100</f>
        <v>100.9237504137872</v>
      </c>
      <c r="J9" s="553">
        <f>J11+J13+J15+J17</f>
        <v>12162.963940991252</v>
      </c>
      <c r="K9" s="553">
        <f>J9/G9*100</f>
        <v>107.24894580041288</v>
      </c>
      <c r="L9" s="156"/>
      <c r="M9" s="156">
        <f>E9-E11-E13-E15-E17</f>
        <v>-5.115907697472721E-13</v>
      </c>
      <c r="N9" s="156">
        <f aca="true" t="shared" si="0" ref="N9:N17">G9-J9</f>
        <v>-822.0935480773969</v>
      </c>
      <c r="O9" s="4">
        <v>575785</v>
      </c>
      <c r="Q9" s="157"/>
    </row>
    <row r="10" spans="1:17" s="256" customFormat="1" ht="21" customHeight="1">
      <c r="A10" s="254"/>
      <c r="B10" s="555" t="s">
        <v>457</v>
      </c>
      <c r="C10" s="254"/>
      <c r="D10" s="556">
        <v>6.24</v>
      </c>
      <c r="E10" s="556">
        <v>7.200000000000003</v>
      </c>
      <c r="F10" s="556"/>
      <c r="G10" s="556">
        <f>G9/D9*100-100</f>
        <v>7.202288292101898</v>
      </c>
      <c r="H10" s="554"/>
      <c r="I10" s="554"/>
      <c r="J10" s="569">
        <v>7.25</v>
      </c>
      <c r="K10" s="570"/>
      <c r="L10" s="255"/>
      <c r="M10" s="255"/>
      <c r="N10" s="255"/>
      <c r="Q10" s="257"/>
    </row>
    <row r="11" spans="1:17" ht="24" customHeight="1">
      <c r="A11" s="114" t="s">
        <v>11</v>
      </c>
      <c r="B11" s="112" t="s">
        <v>12</v>
      </c>
      <c r="C11" s="114" t="s">
        <v>9</v>
      </c>
      <c r="D11" s="1340">
        <v>2222.90263538544</v>
      </c>
      <c r="E11" s="554">
        <v>2267.103904</v>
      </c>
      <c r="F11" s="554"/>
      <c r="G11" s="1340">
        <v>2293.2429698563624</v>
      </c>
      <c r="H11" s="1342">
        <f aca="true" t="shared" si="1" ref="H11:H25">G11/D11*100</f>
        <v>103.16434617293643</v>
      </c>
      <c r="I11" s="1342">
        <f>G11/E11*100</f>
        <v>101.15297167501866</v>
      </c>
      <c r="J11" s="1342">
        <f>G11*(1+J12/100)</f>
        <v>2370.0666093465506</v>
      </c>
      <c r="K11" s="570">
        <f aca="true" t="shared" si="2" ref="K11:K25">J11/G11*100</f>
        <v>103.35000000000001</v>
      </c>
      <c r="L11" s="158">
        <f>E11-G11</f>
        <v>-26.139065856362322</v>
      </c>
      <c r="M11" s="122">
        <f>G11*2.8/100</f>
        <v>64.21080315597814</v>
      </c>
      <c r="N11" s="156">
        <f t="shared" si="0"/>
        <v>-76.82363949018827</v>
      </c>
      <c r="Q11" s="195"/>
    </row>
    <row r="12" spans="1:17" s="5" customFormat="1" ht="24" customHeight="1" hidden="1">
      <c r="A12" s="16"/>
      <c r="B12" s="113"/>
      <c r="C12" s="16"/>
      <c r="D12" s="1341"/>
      <c r="E12" s="552"/>
      <c r="F12" s="552"/>
      <c r="G12" s="1341"/>
      <c r="H12" s="1343"/>
      <c r="I12" s="1342"/>
      <c r="J12" s="1342">
        <v>3.35</v>
      </c>
      <c r="K12" s="570"/>
      <c r="L12" s="258"/>
      <c r="N12" s="255"/>
      <c r="Q12" s="195"/>
    </row>
    <row r="13" spans="1:17" ht="24" customHeight="1">
      <c r="A13" s="114" t="s">
        <v>11</v>
      </c>
      <c r="B13" s="112" t="s">
        <v>13</v>
      </c>
      <c r="C13" s="114" t="s">
        <v>9</v>
      </c>
      <c r="D13" s="1340">
        <v>2486.057689023531</v>
      </c>
      <c r="E13" s="554">
        <v>2623.134172</v>
      </c>
      <c r="F13" s="554"/>
      <c r="G13" s="1340">
        <v>2650.429423057492</v>
      </c>
      <c r="H13" s="1342">
        <f t="shared" si="1"/>
        <v>106.61174254964784</v>
      </c>
      <c r="I13" s="1342">
        <f aca="true" t="shared" si="3" ref="I13:I25">G13/E13*100</f>
        <v>101.04055870831345</v>
      </c>
      <c r="J13" s="1342">
        <f>G13*(1+J14/100)</f>
        <v>2821.3821208447002</v>
      </c>
      <c r="K13" s="570">
        <f t="shared" si="2"/>
        <v>106.45</v>
      </c>
      <c r="L13" s="158">
        <f>E13-G13</f>
        <v>-27.295251057491896</v>
      </c>
      <c r="M13" s="122">
        <f>G13*8.5/100</f>
        <v>225.2865009598868</v>
      </c>
      <c r="N13" s="156">
        <f t="shared" si="0"/>
        <v>-170.9526977872083</v>
      </c>
      <c r="Q13" s="195"/>
    </row>
    <row r="14" spans="1:17" s="5" customFormat="1" ht="24" customHeight="1" hidden="1">
      <c r="A14" s="16"/>
      <c r="B14" s="113"/>
      <c r="C14" s="16"/>
      <c r="D14" s="552"/>
      <c r="E14" s="552"/>
      <c r="F14" s="552"/>
      <c r="G14" s="552"/>
      <c r="I14" s="554"/>
      <c r="J14" s="570">
        <v>6.45</v>
      </c>
      <c r="K14" s="570"/>
      <c r="L14" s="258"/>
      <c r="N14" s="255"/>
      <c r="Q14" s="195"/>
    </row>
    <row r="15" spans="1:17" ht="24" customHeight="1">
      <c r="A15" s="114" t="s">
        <v>11</v>
      </c>
      <c r="B15" s="112" t="s">
        <v>14</v>
      </c>
      <c r="C15" s="114" t="s">
        <v>9</v>
      </c>
      <c r="D15" s="554">
        <v>5600.549</v>
      </c>
      <c r="E15" s="554">
        <v>6068.06121</v>
      </c>
      <c r="F15" s="554"/>
      <c r="G15" s="554">
        <v>6104.276</v>
      </c>
      <c r="H15" s="554">
        <f t="shared" si="1"/>
        <v>108.99424324293922</v>
      </c>
      <c r="I15" s="554">
        <f t="shared" si="3"/>
        <v>100.5968098993517</v>
      </c>
      <c r="J15" s="570">
        <f>G15*(1+J16/100)</f>
        <v>6653.050412400001</v>
      </c>
      <c r="K15" s="570">
        <f t="shared" si="2"/>
        <v>108.99000000000001</v>
      </c>
      <c r="L15" s="158">
        <f>E15-G15</f>
        <v>-36.214789999999994</v>
      </c>
      <c r="M15" s="122">
        <f>G15*8.6/100</f>
        <v>524.967736</v>
      </c>
      <c r="N15" s="156">
        <f t="shared" si="0"/>
        <v>-548.774412400001</v>
      </c>
      <c r="Q15" s="195"/>
    </row>
    <row r="16" spans="1:17" s="5" customFormat="1" ht="24" customHeight="1" hidden="1">
      <c r="A16" s="16"/>
      <c r="B16" s="113"/>
      <c r="C16" s="16"/>
      <c r="D16" s="552"/>
      <c r="E16" s="552"/>
      <c r="F16" s="552"/>
      <c r="G16" s="552"/>
      <c r="I16" s="554"/>
      <c r="J16" s="570">
        <v>8.99</v>
      </c>
      <c r="K16" s="570"/>
      <c r="L16" s="258"/>
      <c r="N16" s="255"/>
      <c r="Q16" s="195"/>
    </row>
    <row r="17" spans="1:17" ht="24" customHeight="1">
      <c r="A17" s="114" t="s">
        <v>11</v>
      </c>
      <c r="B17" s="112" t="s">
        <v>15</v>
      </c>
      <c r="C17" s="114" t="s">
        <v>9</v>
      </c>
      <c r="D17" s="554">
        <v>269.435</v>
      </c>
      <c r="E17" s="554">
        <v>278.7686454</v>
      </c>
      <c r="F17" s="554"/>
      <c r="G17" s="554">
        <v>292.922</v>
      </c>
      <c r="H17" s="554">
        <f t="shared" si="1"/>
        <v>108.71713029116485</v>
      </c>
      <c r="I17" s="554">
        <f t="shared" si="3"/>
        <v>105.07709702419783</v>
      </c>
      <c r="J17" s="554">
        <f>G17*(1+J18/100)</f>
        <v>318.4647984</v>
      </c>
      <c r="K17" s="570">
        <f t="shared" si="2"/>
        <v>108.72</v>
      </c>
      <c r="L17" s="158">
        <f>E17-G17</f>
        <v>-14.1533546</v>
      </c>
      <c r="M17" s="122">
        <f>G17*3.02/100</f>
        <v>8.8462444</v>
      </c>
      <c r="N17" s="156">
        <f t="shared" si="0"/>
        <v>-25.54279839999998</v>
      </c>
      <c r="Q17" s="195"/>
    </row>
    <row r="18" spans="1:17" s="5" customFormat="1" ht="24" customHeight="1" hidden="1">
      <c r="A18" s="16"/>
      <c r="B18" s="113"/>
      <c r="C18" s="16"/>
      <c r="D18" s="552"/>
      <c r="E18" s="552"/>
      <c r="F18" s="552"/>
      <c r="G18" s="552"/>
      <c r="I18" s="554"/>
      <c r="J18" s="554">
        <v>8.72</v>
      </c>
      <c r="K18" s="554"/>
      <c r="L18" s="258"/>
      <c r="N18" s="255"/>
      <c r="Q18" s="195">
        <f>G18*J18/100</f>
        <v>0</v>
      </c>
    </row>
    <row r="19" spans="1:19" s="4" customFormat="1" ht="24" customHeight="1">
      <c r="A19" s="10">
        <v>2</v>
      </c>
      <c r="B19" s="155" t="s">
        <v>16</v>
      </c>
      <c r="C19" s="10" t="s">
        <v>9</v>
      </c>
      <c r="D19" s="553">
        <f>D21+D22+D23+D24</f>
        <v>16312.526791620983</v>
      </c>
      <c r="E19" s="553">
        <f>E21+E22+E23+E24</f>
        <v>17857.125182391</v>
      </c>
      <c r="F19" s="553">
        <f>F21+F22+F23+F24</f>
        <v>0</v>
      </c>
      <c r="G19" s="553">
        <f>G21+G22+G23+G24</f>
        <v>17867.48683909157</v>
      </c>
      <c r="H19" s="553">
        <f t="shared" si="1"/>
        <v>109.53230647424468</v>
      </c>
      <c r="I19" s="553">
        <f t="shared" si="3"/>
        <v>100.05802533495587</v>
      </c>
      <c r="J19" s="571">
        <f>J21+J22+J23+J24</f>
        <v>20224.509933233887</v>
      </c>
      <c r="K19" s="571">
        <f t="shared" si="2"/>
        <v>113.19168787064939</v>
      </c>
      <c r="L19" s="156">
        <f>F19/E19*100</f>
        <v>0</v>
      </c>
      <c r="M19" s="157">
        <f>G19*14.28/100</f>
        <v>2551.477120622276</v>
      </c>
      <c r="Q19" s="488">
        <v>601.659</v>
      </c>
      <c r="S19" s="488">
        <v>612.32</v>
      </c>
    </row>
    <row r="20" spans="1:12" ht="24" customHeight="1">
      <c r="A20" s="114"/>
      <c r="B20" s="113" t="s">
        <v>10</v>
      </c>
      <c r="C20" s="16"/>
      <c r="D20" s="554"/>
      <c r="E20" s="554"/>
      <c r="F20" s="554"/>
      <c r="G20" s="554"/>
      <c r="H20" s="554"/>
      <c r="I20" s="554"/>
      <c r="J20" s="570"/>
      <c r="K20" s="570"/>
      <c r="L20" s="158" t="e">
        <f aca="true" t="shared" si="4" ref="L20:L25">F20/E20*100</f>
        <v>#DIV/0!</v>
      </c>
    </row>
    <row r="21" spans="1:19" ht="24" customHeight="1">
      <c r="A21" s="114" t="s">
        <v>11</v>
      </c>
      <c r="B21" s="112" t="s">
        <v>12</v>
      </c>
      <c r="C21" s="114" t="s">
        <v>9</v>
      </c>
      <c r="D21" s="554">
        <v>3309.639</v>
      </c>
      <c r="E21" s="554">
        <v>3490.8173066520008</v>
      </c>
      <c r="F21" s="554"/>
      <c r="G21" s="554">
        <v>3455.925</v>
      </c>
      <c r="H21" s="554">
        <f t="shared" si="1"/>
        <v>104.41999867659281</v>
      </c>
      <c r="I21" s="554">
        <f t="shared" si="3"/>
        <v>99.0004545186163</v>
      </c>
      <c r="J21" s="1340">
        <f>G21*(1+J12/100)*1.05</f>
        <v>3750.2834118750006</v>
      </c>
      <c r="K21" s="570">
        <f t="shared" si="2"/>
        <v>108.51750000000003</v>
      </c>
      <c r="L21" s="158">
        <f t="shared" si="4"/>
        <v>0</v>
      </c>
      <c r="M21" s="122">
        <f>F11/E11*100</f>
        <v>0</v>
      </c>
      <c r="O21" s="140">
        <f>G21*0.181</f>
        <v>625.522425</v>
      </c>
      <c r="Q21" s="122">
        <f>G19/Q19</f>
        <v>29.697032437130616</v>
      </c>
      <c r="S21" s="122">
        <f>J19/S19</f>
        <v>33.02931462835427</v>
      </c>
    </row>
    <row r="22" spans="1:15" ht="24" customHeight="1">
      <c r="A22" s="114" t="s">
        <v>11</v>
      </c>
      <c r="B22" s="112" t="s">
        <v>13</v>
      </c>
      <c r="C22" s="114" t="s">
        <v>9</v>
      </c>
      <c r="D22" s="554">
        <v>3718.6857916209833</v>
      </c>
      <c r="E22" s="554">
        <v>4077.046057875</v>
      </c>
      <c r="F22" s="554"/>
      <c r="G22" s="554">
        <v>4077.9108390915703</v>
      </c>
      <c r="H22" s="554">
        <f t="shared" si="1"/>
        <v>109.66</v>
      </c>
      <c r="I22" s="554">
        <f t="shared" si="3"/>
        <v>100.02121097491406</v>
      </c>
      <c r="J22" s="1340">
        <f>G22*(1+J14/100)*1.07</f>
        <v>4644.801614387886</v>
      </c>
      <c r="K22" s="570">
        <f t="shared" si="2"/>
        <v>113.90150000000001</v>
      </c>
      <c r="L22" s="158">
        <f t="shared" si="4"/>
        <v>0</v>
      </c>
      <c r="M22" s="122">
        <f>F13/E13*100</f>
        <v>0</v>
      </c>
      <c r="O22" s="140">
        <f>G22*0.178</f>
        <v>725.8681293582995</v>
      </c>
    </row>
    <row r="23" spans="1:15" ht="24" customHeight="1">
      <c r="A23" s="114" t="s">
        <v>11</v>
      </c>
      <c r="B23" s="112" t="s">
        <v>14</v>
      </c>
      <c r="C23" s="114" t="s">
        <v>9</v>
      </c>
      <c r="D23" s="554">
        <v>8878.462</v>
      </c>
      <c r="E23" s="554">
        <v>9836.019499104</v>
      </c>
      <c r="F23" s="554"/>
      <c r="G23" s="554">
        <v>9879.953</v>
      </c>
      <c r="H23" s="554">
        <f t="shared" si="1"/>
        <v>111.28000547842633</v>
      </c>
      <c r="I23" s="554">
        <f t="shared" si="3"/>
        <v>100.44665935137684</v>
      </c>
      <c r="J23" s="570">
        <f>G23*(1+J16/100)*1.05</f>
        <v>11306.568813435</v>
      </c>
      <c r="K23" s="570">
        <f t="shared" si="2"/>
        <v>114.43950000000001</v>
      </c>
      <c r="L23" s="158">
        <f t="shared" si="4"/>
        <v>0</v>
      </c>
      <c r="M23" s="122">
        <f>F15/E15*100</f>
        <v>0</v>
      </c>
      <c r="O23" s="140">
        <f>G23*0.1712</f>
        <v>1691.4479536</v>
      </c>
    </row>
    <row r="24" spans="1:15" ht="24" customHeight="1">
      <c r="A24" s="114" t="s">
        <v>11</v>
      </c>
      <c r="B24" s="112" t="s">
        <v>15</v>
      </c>
      <c r="C24" s="114" t="s">
        <v>9</v>
      </c>
      <c r="D24" s="554">
        <v>405.74</v>
      </c>
      <c r="E24" s="554">
        <v>453.24231876000005</v>
      </c>
      <c r="F24" s="554"/>
      <c r="G24" s="554">
        <v>453.698</v>
      </c>
      <c r="H24" s="554">
        <f t="shared" si="1"/>
        <v>111.8198846551979</v>
      </c>
      <c r="I24" s="554">
        <f t="shared" si="3"/>
        <v>100.10053810536637</v>
      </c>
      <c r="J24" s="570">
        <f>G24*(1+J18/100)*1.06</f>
        <v>522.856093536</v>
      </c>
      <c r="K24" s="570">
        <f t="shared" si="2"/>
        <v>115.24320000000002</v>
      </c>
      <c r="L24" s="158">
        <f t="shared" si="4"/>
        <v>0</v>
      </c>
      <c r="M24" s="122">
        <f>F17/E17*100</f>
        <v>0</v>
      </c>
      <c r="O24" s="140">
        <f>G24*0.0327</f>
        <v>14.835924599999998</v>
      </c>
    </row>
    <row r="25" spans="1:15" s="564" customFormat="1" ht="24" customHeight="1">
      <c r="A25" s="10">
        <v>3</v>
      </c>
      <c r="B25" s="155" t="s">
        <v>17</v>
      </c>
      <c r="C25" s="10" t="s">
        <v>18</v>
      </c>
      <c r="D25" s="553">
        <f>D19*1000/'3. XH'!D9/1000</f>
        <v>28.288043852024913</v>
      </c>
      <c r="E25" s="553">
        <f>E19*1000/'3. XH'!E9/1000</f>
        <v>30.449942504784783</v>
      </c>
      <c r="F25" s="553" t="e">
        <f>F19*1000/'3. XH'!F9/1000</f>
        <v>#DIV/0!</v>
      </c>
      <c r="G25" s="553">
        <f>G19*1000/'3. XH'!G9/1000</f>
        <v>29.697032437130616</v>
      </c>
      <c r="H25" s="553">
        <f t="shared" si="1"/>
        <v>104.98086255973067</v>
      </c>
      <c r="I25" s="553">
        <f t="shared" si="3"/>
        <v>97.52738427162593</v>
      </c>
      <c r="J25" s="1344">
        <f>J19*1000/'3. XH'!J9/1000</f>
        <v>33.029314628354264</v>
      </c>
      <c r="K25" s="553">
        <f t="shared" si="2"/>
        <v>111.22092652953852</v>
      </c>
      <c r="L25" s="156" t="e">
        <f t="shared" si="4"/>
        <v>#DIV/0!</v>
      </c>
      <c r="M25" s="4">
        <f>F19/E19*100</f>
        <v>0</v>
      </c>
      <c r="N25" s="4"/>
      <c r="O25" s="4"/>
    </row>
    <row r="26" spans="1:15" s="4" customFormat="1" ht="39.75" customHeight="1">
      <c r="A26" s="10">
        <v>4</v>
      </c>
      <c r="B26" s="11" t="s">
        <v>451</v>
      </c>
      <c r="C26" s="10"/>
      <c r="D26" s="554">
        <f>D27+D28+D29+D30</f>
        <v>100.00000000000001</v>
      </c>
      <c r="E26" s="554">
        <f aca="true" t="shared" si="5" ref="E26:J26">E27+E28+E29+E30</f>
        <v>100.00000000000001</v>
      </c>
      <c r="F26" s="554">
        <f t="shared" si="5"/>
        <v>0</v>
      </c>
      <c r="G26" s="554">
        <f t="shared" si="5"/>
        <v>100.00000000000001</v>
      </c>
      <c r="H26" s="554"/>
      <c r="I26" s="554"/>
      <c r="J26" s="570">
        <f t="shared" si="5"/>
        <v>100</v>
      </c>
      <c r="K26" s="570"/>
      <c r="L26" s="157">
        <f>D27-G27</f>
        <v>0.9469654809032413</v>
      </c>
      <c r="M26" s="122"/>
      <c r="O26" s="157">
        <f>G19-D19</f>
        <v>1554.9600474705858</v>
      </c>
    </row>
    <row r="27" spans="1:12" ht="24" customHeight="1">
      <c r="A27" s="114" t="s">
        <v>11</v>
      </c>
      <c r="B27" s="112" t="s">
        <v>12</v>
      </c>
      <c r="C27" s="114" t="s">
        <v>19</v>
      </c>
      <c r="D27" s="554">
        <f>D21/D19*100</f>
        <v>20.28894139012243</v>
      </c>
      <c r="E27" s="554">
        <v>19.548596266180144</v>
      </c>
      <c r="F27" s="554"/>
      <c r="G27" s="554">
        <f>G21/G19*100</f>
        <v>19.34197590921919</v>
      </c>
      <c r="H27" s="554">
        <f>G27-D27</f>
        <v>-0.9469654809032413</v>
      </c>
      <c r="I27" s="554">
        <f>G27-E27</f>
        <v>-0.20662035696095415</v>
      </c>
      <c r="J27" s="570">
        <f>J21/J19*100</f>
        <v>18.543259758855044</v>
      </c>
      <c r="K27" s="570">
        <f>J27-G27</f>
        <v>-0.7987161503641467</v>
      </c>
      <c r="L27" s="140">
        <f>G27-J27</f>
        <v>0.7987161503641467</v>
      </c>
    </row>
    <row r="28" spans="1:12" ht="24" customHeight="1">
      <c r="A28" s="114" t="s">
        <v>11</v>
      </c>
      <c r="B28" s="112" t="s">
        <v>13</v>
      </c>
      <c r="C28" s="114" t="s">
        <v>19</v>
      </c>
      <c r="D28" s="554">
        <f>D22/D19*100</f>
        <v>22.796503810379065</v>
      </c>
      <c r="E28" s="554">
        <v>22.831480522382154</v>
      </c>
      <c r="F28" s="554"/>
      <c r="G28" s="554">
        <f>G22/G19*100</f>
        <v>22.823080133293676</v>
      </c>
      <c r="H28" s="554">
        <f>G28-D28</f>
        <v>0.026576322914610984</v>
      </c>
      <c r="I28" s="554">
        <f>G28-E28</f>
        <v>-0.008400389088478732</v>
      </c>
      <c r="J28" s="570">
        <f>J22/J19*100</f>
        <v>22.966201058624044</v>
      </c>
      <c r="K28" s="570">
        <f>J28-G28</f>
        <v>0.14312092533036846</v>
      </c>
      <c r="L28" s="140">
        <f>G28-J28</f>
        <v>-0.14312092533036846</v>
      </c>
    </row>
    <row r="29" spans="1:12" ht="24" customHeight="1">
      <c r="A29" s="114" t="s">
        <v>11</v>
      </c>
      <c r="B29" s="112" t="s">
        <v>14</v>
      </c>
      <c r="C29" s="114" t="s">
        <v>19</v>
      </c>
      <c r="D29" s="554">
        <f>D23/D19*100</f>
        <v>54.42726386546363</v>
      </c>
      <c r="E29" s="554">
        <v>55.08176371414672</v>
      </c>
      <c r="F29" s="554"/>
      <c r="G29" s="554">
        <f>G23/G19*100</f>
        <v>55.295706044031</v>
      </c>
      <c r="H29" s="554">
        <f>G29-D29</f>
        <v>0.8684421785673706</v>
      </c>
      <c r="I29" s="554">
        <f>G29-E29</f>
        <v>0.21394232988428286</v>
      </c>
      <c r="J29" s="570">
        <f>J23/J19*100</f>
        <v>55.90527953834621</v>
      </c>
      <c r="K29" s="570">
        <f>J29-G29</f>
        <v>0.6095734943152067</v>
      </c>
      <c r="L29" s="140">
        <f>G29-J29</f>
        <v>-0.6095734943152067</v>
      </c>
    </row>
    <row r="30" spans="1:12" ht="24" customHeight="1">
      <c r="A30" s="114" t="s">
        <v>11</v>
      </c>
      <c r="B30" s="112" t="s">
        <v>15</v>
      </c>
      <c r="C30" s="114" t="s">
        <v>19</v>
      </c>
      <c r="D30" s="554">
        <f>D24/D19*100</f>
        <v>2.4872909340348826</v>
      </c>
      <c r="E30" s="554">
        <v>2.5381594972910007</v>
      </c>
      <c r="F30" s="554"/>
      <c r="G30" s="554">
        <f>G24/G19*100</f>
        <v>2.5392379134561445</v>
      </c>
      <c r="H30" s="554">
        <f>G30-D30</f>
        <v>0.05194697942126192</v>
      </c>
      <c r="I30" s="554">
        <f>G30-E30</f>
        <v>0.001078416165143814</v>
      </c>
      <c r="J30" s="570">
        <f>J24/J19*100</f>
        <v>2.5852596441747036</v>
      </c>
      <c r="K30" s="570">
        <f>J30-G30</f>
        <v>0.046021730718559084</v>
      </c>
      <c r="L30" s="140">
        <f>G30-J30</f>
        <v>-0.046021730718559084</v>
      </c>
    </row>
    <row r="31" spans="1:19" s="4" customFormat="1" ht="39" customHeight="1">
      <c r="A31" s="10">
        <v>5</v>
      </c>
      <c r="B31" s="11" t="s">
        <v>20</v>
      </c>
      <c r="C31" s="10" t="s">
        <v>9</v>
      </c>
      <c r="D31" s="289">
        <v>10907.9952</v>
      </c>
      <c r="E31" s="289">
        <v>12760</v>
      </c>
      <c r="F31" s="289"/>
      <c r="G31" s="289">
        <v>12814.914700000001</v>
      </c>
      <c r="H31" s="289">
        <f>G31/D31*100</f>
        <v>117.48185129381064</v>
      </c>
      <c r="I31" s="289">
        <f>G31/E31*100</f>
        <v>100.43036598746082</v>
      </c>
      <c r="J31" s="289">
        <v>14600</v>
      </c>
      <c r="K31" s="571">
        <f>J31/G31*100</f>
        <v>113.92974781174313</v>
      </c>
      <c r="L31" s="259">
        <f>+G31/E31</f>
        <v>1.0043036598746082</v>
      </c>
      <c r="Q31" s="260"/>
      <c r="S31" s="261"/>
    </row>
    <row r="32" spans="1:19" s="4" customFormat="1" ht="24" customHeight="1">
      <c r="A32" s="10">
        <v>6</v>
      </c>
      <c r="B32" s="11" t="s">
        <v>21</v>
      </c>
      <c r="C32" s="10" t="s">
        <v>22</v>
      </c>
      <c r="D32" s="290">
        <v>44</v>
      </c>
      <c r="E32" s="290">
        <v>50</v>
      </c>
      <c r="F32" s="290"/>
      <c r="G32" s="290">
        <v>50</v>
      </c>
      <c r="H32" s="289">
        <f>G32/D32*100</f>
        <v>113.63636363636364</v>
      </c>
      <c r="I32" s="553">
        <f>G32/E32*100</f>
        <v>100</v>
      </c>
      <c r="J32" s="290">
        <v>57</v>
      </c>
      <c r="K32" s="289">
        <f>J32/G32*100</f>
        <v>113.99999999999999</v>
      </c>
      <c r="L32" s="259">
        <f>+G32/E32</f>
        <v>1</v>
      </c>
      <c r="Q32" s="260"/>
      <c r="S32" s="157"/>
    </row>
    <row r="33" spans="1:11" s="5" customFormat="1" ht="24" customHeight="1">
      <c r="A33" s="16"/>
      <c r="B33" s="113" t="s">
        <v>23</v>
      </c>
      <c r="C33" s="16" t="s">
        <v>22</v>
      </c>
      <c r="D33" s="549">
        <v>21.6</v>
      </c>
      <c r="E33" s="549">
        <v>27</v>
      </c>
      <c r="F33" s="549"/>
      <c r="G33" s="549">
        <v>27</v>
      </c>
      <c r="H33" s="550">
        <f>G33/D33*100</f>
        <v>125</v>
      </c>
      <c r="I33" s="552">
        <f>G33/E33*100</f>
        <v>100</v>
      </c>
      <c r="J33" s="549">
        <v>28.3</v>
      </c>
      <c r="K33" s="550">
        <f>J33/G33*100</f>
        <v>104.81481481481482</v>
      </c>
    </row>
    <row r="34" spans="1:17" s="4" customFormat="1" ht="24" customHeight="1">
      <c r="A34" s="10">
        <v>7</v>
      </c>
      <c r="B34" s="11" t="s">
        <v>24</v>
      </c>
      <c r="C34" s="10" t="s">
        <v>22</v>
      </c>
      <c r="D34" s="290">
        <v>23</v>
      </c>
      <c r="E34" s="290">
        <v>33</v>
      </c>
      <c r="F34" s="290"/>
      <c r="G34" s="290">
        <v>33</v>
      </c>
      <c r="H34" s="289">
        <f>G34/D34*100</f>
        <v>143.47826086956522</v>
      </c>
      <c r="I34" s="553">
        <f>G34/E34*100</f>
        <v>100</v>
      </c>
      <c r="J34" s="290">
        <v>45</v>
      </c>
      <c r="K34" s="289">
        <f>J34/G34*100</f>
        <v>136.36363636363635</v>
      </c>
      <c r="L34" s="259">
        <f>+G34/E34</f>
        <v>1</v>
      </c>
      <c r="Q34" s="260"/>
    </row>
    <row r="35" spans="1:20" s="1159" customFormat="1" ht="39" customHeight="1">
      <c r="A35" s="1155">
        <v>8</v>
      </c>
      <c r="B35" s="1156" t="s">
        <v>25</v>
      </c>
      <c r="C35" s="1155" t="s">
        <v>9</v>
      </c>
      <c r="D35" s="1345">
        <v>1243.44</v>
      </c>
      <c r="E35" s="1157">
        <v>1196.397</v>
      </c>
      <c r="F35" s="1157"/>
      <c r="G35" s="1157">
        <v>1233.89</v>
      </c>
      <c r="H35" s="1158">
        <f>G35/D35*100</f>
        <v>99.23196937528148</v>
      </c>
      <c r="I35" s="571">
        <f>G35/E35*100</f>
        <v>103.13382597916913</v>
      </c>
      <c r="J35" s="1157">
        <v>1249.935</v>
      </c>
      <c r="K35" s="1158">
        <f aca="true" t="shared" si="6" ref="K35:K60">J35/G35*100</f>
        <v>101.30035902714178</v>
      </c>
      <c r="M35" s="1160">
        <f>E35+E45</f>
        <v>9325.347</v>
      </c>
      <c r="O35" s="1160">
        <f>J45+J35</f>
        <v>10224.603</v>
      </c>
      <c r="Q35" s="1187">
        <f>E35+E45</f>
        <v>9325.347</v>
      </c>
      <c r="R35" s="1187">
        <f>F35+F45</f>
        <v>0</v>
      </c>
      <c r="S35" s="1187">
        <f>G35+G45</f>
        <v>10051.029999999999</v>
      </c>
      <c r="T35" s="1159">
        <f>S35/Q35*100</f>
        <v>107.7818337483849</v>
      </c>
    </row>
    <row r="36" spans="1:11" s="1165" customFormat="1" ht="24" customHeight="1">
      <c r="A36" s="1161"/>
      <c r="B36" s="1162" t="s">
        <v>10</v>
      </c>
      <c r="C36" s="1161"/>
      <c r="D36" s="1163"/>
      <c r="E36" s="1163"/>
      <c r="F36" s="1163"/>
      <c r="G36" s="1163"/>
      <c r="H36" s="1158"/>
      <c r="I36" s="571"/>
      <c r="J36" s="1164"/>
      <c r="K36" s="1158"/>
    </row>
    <row r="37" spans="1:17" s="1165" customFormat="1" ht="24" customHeight="1">
      <c r="A37" s="1161" t="s">
        <v>11</v>
      </c>
      <c r="B37" s="1166" t="s">
        <v>26</v>
      </c>
      <c r="C37" s="1161" t="s">
        <v>9</v>
      </c>
      <c r="D37" s="1163">
        <v>17.623</v>
      </c>
      <c r="E37" s="1163">
        <v>9</v>
      </c>
      <c r="F37" s="1163"/>
      <c r="G37" s="1345">
        <v>18.5</v>
      </c>
      <c r="H37" s="1167">
        <f>G37/D37*100</f>
        <v>104.97645122850818</v>
      </c>
      <c r="I37" s="570">
        <f>G37/E37*100</f>
        <v>205.55555555555554</v>
      </c>
      <c r="J37" s="1168">
        <v>21</v>
      </c>
      <c r="K37" s="1167">
        <f t="shared" si="6"/>
        <v>113.51351351351352</v>
      </c>
      <c r="L37" s="1169">
        <f>E37-D37</f>
        <v>-8.623000000000001</v>
      </c>
      <c r="Q37" s="1171">
        <f>G37+G38+G39</f>
        <v>1233.897</v>
      </c>
    </row>
    <row r="38" spans="1:17" s="1165" customFormat="1" ht="24" customHeight="1">
      <c r="A38" s="1161" t="s">
        <v>11</v>
      </c>
      <c r="B38" s="1166" t="s">
        <v>27</v>
      </c>
      <c r="C38" s="1161" t="s">
        <v>9</v>
      </c>
      <c r="D38" s="1163">
        <v>1160.223</v>
      </c>
      <c r="E38" s="1163">
        <v>1150</v>
      </c>
      <c r="F38" s="1163"/>
      <c r="G38" s="1345">
        <v>1178</v>
      </c>
      <c r="H38" s="1167">
        <f>G38/D38*100</f>
        <v>101.53220544671153</v>
      </c>
      <c r="I38" s="570">
        <f>G38/E38*100</f>
        <v>102.43478260869566</v>
      </c>
      <c r="J38" s="1170">
        <v>1196</v>
      </c>
      <c r="K38" s="1167">
        <f t="shared" si="6"/>
        <v>101.52801358234296</v>
      </c>
      <c r="L38" s="1169">
        <f>E38-D38</f>
        <v>-10.222999999999956</v>
      </c>
      <c r="Q38" s="1171">
        <f>Q35</f>
        <v>9325.347</v>
      </c>
    </row>
    <row r="39" spans="1:17" s="1165" customFormat="1" ht="24" customHeight="1">
      <c r="A39" s="1172" t="s">
        <v>11</v>
      </c>
      <c r="B39" s="1166" t="s">
        <v>496</v>
      </c>
      <c r="C39" s="1161" t="s">
        <v>9</v>
      </c>
      <c r="D39" s="1163">
        <v>14.59</v>
      </c>
      <c r="E39" s="1163">
        <v>37.397</v>
      </c>
      <c r="F39" s="1163"/>
      <c r="G39" s="1163">
        <v>37.397</v>
      </c>
      <c r="H39" s="1167">
        <f>G39/D39*100</f>
        <v>256.3193968471556</v>
      </c>
      <c r="I39" s="570">
        <f>G39/E39*100</f>
        <v>100</v>
      </c>
      <c r="J39" s="1173">
        <v>32.935</v>
      </c>
      <c r="K39" s="1167">
        <f t="shared" si="6"/>
        <v>88.06856164933016</v>
      </c>
      <c r="L39" s="1169"/>
      <c r="Q39" s="1171"/>
    </row>
    <row r="40" spans="1:17" s="1165" customFormat="1" ht="24" customHeight="1">
      <c r="A40" s="1161"/>
      <c r="B40" s="1162" t="s">
        <v>10</v>
      </c>
      <c r="C40" s="1161"/>
      <c r="D40" s="570"/>
      <c r="E40" s="570"/>
      <c r="F40" s="570"/>
      <c r="G40" s="1163"/>
      <c r="H40" s="1167"/>
      <c r="I40" s="570"/>
      <c r="J40" s="1173"/>
      <c r="K40" s="1167"/>
      <c r="Q40" s="1171">
        <f>G35+G45</f>
        <v>10051.029999999999</v>
      </c>
    </row>
    <row r="41" spans="1:12" s="1165" customFormat="1" ht="24" customHeight="1">
      <c r="A41" s="1161"/>
      <c r="B41" s="1166" t="s">
        <v>28</v>
      </c>
      <c r="C41" s="1161" t="s">
        <v>9</v>
      </c>
      <c r="D41" s="1163">
        <v>252.737</v>
      </c>
      <c r="E41" s="1163">
        <v>217</v>
      </c>
      <c r="F41" s="1163"/>
      <c r="G41" s="1163">
        <v>235</v>
      </c>
      <c r="H41" s="1167">
        <f>G41/D41*100</f>
        <v>92.98203270593542</v>
      </c>
      <c r="I41" s="570">
        <f>G41/E41*100</f>
        <v>108.29493087557604</v>
      </c>
      <c r="J41" s="1168">
        <v>245</v>
      </c>
      <c r="K41" s="1167">
        <f t="shared" si="6"/>
        <v>104.25531914893618</v>
      </c>
      <c r="L41" s="1169">
        <f aca="true" t="shared" si="7" ref="L41:L46">E41-D41</f>
        <v>-35.736999999999995</v>
      </c>
    </row>
    <row r="42" spans="1:12" s="1165" customFormat="1" ht="24" customHeight="1">
      <c r="A42" s="1161"/>
      <c r="B42" s="1166" t="s">
        <v>29</v>
      </c>
      <c r="C42" s="1161" t="s">
        <v>9</v>
      </c>
      <c r="D42" s="1163">
        <v>19.39</v>
      </c>
      <c r="E42" s="1163">
        <v>20</v>
      </c>
      <c r="F42" s="1163"/>
      <c r="G42" s="1163">
        <v>10.2</v>
      </c>
      <c r="H42" s="1167">
        <f>G42/D42*100</f>
        <v>52.60443527591542</v>
      </c>
      <c r="I42" s="570">
        <f>G42/E42*100</f>
        <v>51</v>
      </c>
      <c r="J42" s="1168">
        <v>10</v>
      </c>
      <c r="K42" s="1167">
        <f t="shared" si="6"/>
        <v>98.03921568627452</v>
      </c>
      <c r="L42" s="1169">
        <f t="shared" si="7"/>
        <v>0.6099999999999994</v>
      </c>
    </row>
    <row r="43" spans="1:13" s="1165" customFormat="1" ht="24" customHeight="1">
      <c r="A43" s="1161"/>
      <c r="B43" s="1166" t="s">
        <v>30</v>
      </c>
      <c r="C43" s="1161" t="s">
        <v>9</v>
      </c>
      <c r="D43" s="1163">
        <v>324.22</v>
      </c>
      <c r="E43" s="1163">
        <v>383</v>
      </c>
      <c r="F43" s="1163"/>
      <c r="G43" s="1163">
        <v>346</v>
      </c>
      <c r="H43" s="1167">
        <f>G43/D43*100</f>
        <v>106.71766084757263</v>
      </c>
      <c r="I43" s="570">
        <f>G43/E43*100</f>
        <v>90.33942558746736</v>
      </c>
      <c r="J43" s="1168">
        <v>375</v>
      </c>
      <c r="K43" s="1167">
        <f t="shared" si="6"/>
        <v>108.38150289017341</v>
      </c>
      <c r="L43" s="1169">
        <f t="shared" si="7"/>
        <v>58.77999999999997</v>
      </c>
      <c r="M43" s="1169">
        <f>L43+H43</f>
        <v>165.4976608475726</v>
      </c>
    </row>
    <row r="44" spans="1:12" s="1165" customFormat="1" ht="24" customHeight="1">
      <c r="A44" s="1161"/>
      <c r="B44" s="1166" t="s">
        <v>31</v>
      </c>
      <c r="C44" s="1161" t="s">
        <v>9</v>
      </c>
      <c r="D44" s="1163">
        <v>0.276</v>
      </c>
      <c r="E44" s="1163">
        <v>0.2</v>
      </c>
      <c r="F44" s="1163"/>
      <c r="G44" s="1163">
        <v>1.2</v>
      </c>
      <c r="H44" s="1167">
        <f>G44/D44*100</f>
        <v>434.78260869565213</v>
      </c>
      <c r="I44" s="570">
        <f>G44/E44*100</f>
        <v>599.9999999999999</v>
      </c>
      <c r="J44" s="1168">
        <v>0.2</v>
      </c>
      <c r="K44" s="1167">
        <f t="shared" si="6"/>
        <v>16.666666666666668</v>
      </c>
      <c r="L44" s="1169">
        <f t="shared" si="7"/>
        <v>-0.07600000000000001</v>
      </c>
    </row>
    <row r="45" spans="1:15" s="1159" customFormat="1" ht="48.75" customHeight="1">
      <c r="A45" s="1155">
        <v>9</v>
      </c>
      <c r="B45" s="1156" t="s">
        <v>32</v>
      </c>
      <c r="C45" s="1155" t="s">
        <v>9</v>
      </c>
      <c r="D45" s="1157">
        <v>8632.81</v>
      </c>
      <c r="E45" s="1157">
        <v>8128.95</v>
      </c>
      <c r="F45" s="1157"/>
      <c r="G45" s="1345">
        <v>8817.14</v>
      </c>
      <c r="H45" s="1158">
        <f aca="true" t="shared" si="8" ref="H45:H55">G45/D45*100</f>
        <v>102.13522595771249</v>
      </c>
      <c r="I45" s="571">
        <f aca="true" t="shared" si="9" ref="I45:I53">G45/E45*100</f>
        <v>108.4659150320767</v>
      </c>
      <c r="J45" s="1174">
        <v>8974.668</v>
      </c>
      <c r="K45" s="1158">
        <f t="shared" si="6"/>
        <v>101.7866110779686</v>
      </c>
      <c r="L45" s="1160">
        <f t="shared" si="7"/>
        <v>-503.8599999999997</v>
      </c>
      <c r="M45" s="1160">
        <f>L45+H45</f>
        <v>-401.7247740422872</v>
      </c>
      <c r="O45" s="1160">
        <f>E48+E55</f>
        <v>8530.57</v>
      </c>
    </row>
    <row r="46" spans="1:17" s="1159" customFormat="1" ht="24.75" customHeight="1">
      <c r="A46" s="1175">
        <v>10</v>
      </c>
      <c r="B46" s="1156" t="s">
        <v>33</v>
      </c>
      <c r="C46" s="1155" t="s">
        <v>9</v>
      </c>
      <c r="D46" s="1157">
        <v>11488.96</v>
      </c>
      <c r="E46" s="1157">
        <v>9116.24</v>
      </c>
      <c r="F46" s="1157"/>
      <c r="G46" s="1345">
        <v>9426.069</v>
      </c>
      <c r="H46" s="1158">
        <f t="shared" si="8"/>
        <v>82.0445801882851</v>
      </c>
      <c r="I46" s="571">
        <f t="shared" si="9"/>
        <v>103.3986490044141</v>
      </c>
      <c r="J46" s="1176">
        <v>10056.273</v>
      </c>
      <c r="K46" s="1158">
        <f t="shared" si="6"/>
        <v>106.68575627867779</v>
      </c>
      <c r="L46" s="1160">
        <f t="shared" si="7"/>
        <v>-2372.7199999999993</v>
      </c>
      <c r="O46" s="1160">
        <f>E46-O45</f>
        <v>585.6700000000001</v>
      </c>
      <c r="Q46" s="1187"/>
    </row>
    <row r="47" spans="1:15" s="1159" customFormat="1" ht="24.75" customHeight="1">
      <c r="A47" s="1175"/>
      <c r="B47" s="1156" t="s">
        <v>10</v>
      </c>
      <c r="C47" s="1155"/>
      <c r="D47" s="1157"/>
      <c r="E47" s="1157"/>
      <c r="F47" s="1157"/>
      <c r="G47" s="1157"/>
      <c r="H47" s="1158"/>
      <c r="I47" s="571"/>
      <c r="J47" s="1176"/>
      <c r="K47" s="1158"/>
      <c r="L47" s="1160"/>
      <c r="O47" s="1160"/>
    </row>
    <row r="48" spans="1:18" s="1165" customFormat="1" ht="24.75" customHeight="1">
      <c r="A48" s="1161" t="s">
        <v>34</v>
      </c>
      <c r="B48" s="1166" t="s">
        <v>35</v>
      </c>
      <c r="C48" s="1161" t="s">
        <v>9</v>
      </c>
      <c r="D48" s="1163">
        <v>2176.8199999999997</v>
      </c>
      <c r="E48" s="1163">
        <f>E49+E53+E54</f>
        <v>1929.8899999999999</v>
      </c>
      <c r="F48" s="1163">
        <f>F49+F53+F54</f>
        <v>0</v>
      </c>
      <c r="G48" s="1340">
        <v>1949.4</v>
      </c>
      <c r="H48" s="1167">
        <f t="shared" si="8"/>
        <v>89.55265019615771</v>
      </c>
      <c r="I48" s="570">
        <f t="shared" si="9"/>
        <v>101.01093844726903</v>
      </c>
      <c r="J48" s="1163">
        <v>2409.307</v>
      </c>
      <c r="K48" s="1167">
        <f t="shared" si="6"/>
        <v>123.59223350774596</v>
      </c>
      <c r="L48" s="1169">
        <f>E48-D48</f>
        <v>-246.92999999999984</v>
      </c>
      <c r="O48" s="1169">
        <f>E49+E53</f>
        <v>1929.8899999999999</v>
      </c>
      <c r="Q48" s="1171"/>
      <c r="R48" s="1171"/>
    </row>
    <row r="49" spans="1:12" s="1165" customFormat="1" ht="24.75" customHeight="1">
      <c r="A49" s="1161" t="s">
        <v>11</v>
      </c>
      <c r="B49" s="1166" t="s">
        <v>36</v>
      </c>
      <c r="C49" s="1161" t="s">
        <v>9</v>
      </c>
      <c r="D49" s="1163">
        <v>670.972</v>
      </c>
      <c r="E49" s="1163">
        <v>739.12</v>
      </c>
      <c r="F49" s="1163"/>
      <c r="G49" s="1340">
        <v>768.233</v>
      </c>
      <c r="H49" s="1167">
        <f t="shared" si="8"/>
        <v>114.49553781677923</v>
      </c>
      <c r="I49" s="570">
        <f t="shared" si="9"/>
        <v>103.93887325468123</v>
      </c>
      <c r="J49" s="1164">
        <v>837.5</v>
      </c>
      <c r="K49" s="1167">
        <f t="shared" si="6"/>
        <v>109.0164051791579</v>
      </c>
      <c r="L49" s="1169">
        <f>E49-D49</f>
        <v>68.14800000000002</v>
      </c>
    </row>
    <row r="50" spans="1:11" s="1165" customFormat="1" ht="24.75" customHeight="1">
      <c r="A50" s="1161"/>
      <c r="B50" s="1162" t="s">
        <v>10</v>
      </c>
      <c r="C50" s="1161"/>
      <c r="D50" s="1163"/>
      <c r="E50" s="1163"/>
      <c r="F50" s="1163"/>
      <c r="G50" s="1340"/>
      <c r="H50" s="1158"/>
      <c r="I50" s="571"/>
      <c r="J50" s="1164"/>
      <c r="K50" s="1158"/>
    </row>
    <row r="51" spans="1:15" s="1184" customFormat="1" ht="24.75" customHeight="1">
      <c r="A51" s="1177"/>
      <c r="B51" s="1178" t="s">
        <v>37</v>
      </c>
      <c r="C51" s="1177" t="s">
        <v>9</v>
      </c>
      <c r="D51" s="1179">
        <v>83.89</v>
      </c>
      <c r="E51" s="1179">
        <v>94.45</v>
      </c>
      <c r="F51" s="1179"/>
      <c r="G51" s="1367">
        <v>94.45</v>
      </c>
      <c r="H51" s="1180">
        <f t="shared" si="8"/>
        <v>112.58791274287758</v>
      </c>
      <c r="I51" s="1181">
        <f t="shared" si="9"/>
        <v>100</v>
      </c>
      <c r="J51" s="1182">
        <v>113.13</v>
      </c>
      <c r="K51" s="1180">
        <f t="shared" si="6"/>
        <v>119.77766013763895</v>
      </c>
      <c r="L51" s="1183">
        <f>E48+E55</f>
        <v>8530.57</v>
      </c>
      <c r="M51" s="1183">
        <f>D48+D55</f>
        <v>9022.75</v>
      </c>
      <c r="O51" s="1183">
        <f>J48+J55</f>
        <v>9876.359</v>
      </c>
    </row>
    <row r="52" spans="1:17" s="1184" customFormat="1" ht="24.75" customHeight="1">
      <c r="A52" s="1177"/>
      <c r="B52" s="1178" t="s">
        <v>38</v>
      </c>
      <c r="C52" s="1177" t="s">
        <v>9</v>
      </c>
      <c r="D52" s="1179">
        <v>16.94</v>
      </c>
      <c r="E52" s="1179">
        <v>25</v>
      </c>
      <c r="F52" s="1179"/>
      <c r="G52" s="1367">
        <v>25</v>
      </c>
      <c r="H52" s="1180">
        <f t="shared" si="8"/>
        <v>147.5796930342385</v>
      </c>
      <c r="I52" s="1181">
        <f t="shared" si="9"/>
        <v>100</v>
      </c>
      <c r="J52" s="1182">
        <v>26</v>
      </c>
      <c r="K52" s="1180">
        <f t="shared" si="6"/>
        <v>104</v>
      </c>
      <c r="L52" s="1183">
        <f>E46-L51</f>
        <v>585.6700000000001</v>
      </c>
      <c r="M52" s="1183">
        <f>J48+J55</f>
        <v>9876.359</v>
      </c>
      <c r="O52" s="1183">
        <f>O51+208.66</f>
        <v>10085.019</v>
      </c>
      <c r="Q52" s="1185"/>
    </row>
    <row r="53" spans="1:14" s="1165" customFormat="1" ht="50.25" customHeight="1">
      <c r="A53" s="1161" t="s">
        <v>11</v>
      </c>
      <c r="B53" s="1166" t="s">
        <v>454</v>
      </c>
      <c r="C53" s="1161" t="s">
        <v>9</v>
      </c>
      <c r="D53" s="1163">
        <v>1505.848</v>
      </c>
      <c r="E53" s="1163">
        <v>1190.77</v>
      </c>
      <c r="F53" s="1163"/>
      <c r="G53" s="1340">
        <v>1181.171</v>
      </c>
      <c r="H53" s="1167">
        <f t="shared" si="8"/>
        <v>78.43892610675182</v>
      </c>
      <c r="I53" s="570">
        <f t="shared" si="9"/>
        <v>99.19388294968803</v>
      </c>
      <c r="J53" s="1164">
        <v>1571.807</v>
      </c>
      <c r="K53" s="1167">
        <f t="shared" si="6"/>
        <v>133.0719260801357</v>
      </c>
      <c r="L53" s="1169">
        <f>D48+D55</f>
        <v>9022.75</v>
      </c>
      <c r="M53" s="1183">
        <f>D46-L53</f>
        <v>2466.209999999999</v>
      </c>
      <c r="N53" s="1184"/>
    </row>
    <row r="54" spans="1:14" s="1165" customFormat="1" ht="24.75" customHeight="1">
      <c r="A54" s="1161" t="s">
        <v>11</v>
      </c>
      <c r="B54" s="1166" t="s">
        <v>455</v>
      </c>
      <c r="C54" s="1161" t="s">
        <v>9</v>
      </c>
      <c r="D54" s="1163"/>
      <c r="E54" s="1163"/>
      <c r="F54" s="1163"/>
      <c r="G54" s="1163"/>
      <c r="H54" s="1158"/>
      <c r="I54" s="571"/>
      <c r="J54" s="1164"/>
      <c r="K54" s="1158"/>
      <c r="M54" s="1183">
        <f>E46-L51</f>
        <v>585.6700000000001</v>
      </c>
      <c r="N54" s="1184"/>
    </row>
    <row r="55" spans="1:17" s="1165" customFormat="1" ht="24.75" customHeight="1">
      <c r="A55" s="1161" t="s">
        <v>39</v>
      </c>
      <c r="B55" s="1166" t="s">
        <v>40</v>
      </c>
      <c r="C55" s="1161" t="s">
        <v>9</v>
      </c>
      <c r="D55" s="1163">
        <v>6845.93</v>
      </c>
      <c r="E55" s="1163">
        <v>6600.68</v>
      </c>
      <c r="F55" s="1163"/>
      <c r="G55" s="1340">
        <v>7104.26</v>
      </c>
      <c r="H55" s="1167">
        <f t="shared" si="8"/>
        <v>103.77348293073403</v>
      </c>
      <c r="I55" s="570">
        <f aca="true" t="shared" si="10" ref="I55:I60">G55/E55*100</f>
        <v>107.62921395977385</v>
      </c>
      <c r="J55" s="1163">
        <v>7467.052</v>
      </c>
      <c r="K55" s="1167">
        <f t="shared" si="6"/>
        <v>105.10668246939159</v>
      </c>
      <c r="M55" s="1184"/>
      <c r="N55" s="1184"/>
      <c r="Q55" s="1171"/>
    </row>
    <row r="56" spans="1:17" s="4" customFormat="1" ht="29.25" customHeight="1">
      <c r="A56" s="10">
        <v>11</v>
      </c>
      <c r="B56" s="11" t="s">
        <v>41</v>
      </c>
      <c r="C56" s="10" t="s">
        <v>9</v>
      </c>
      <c r="D56" s="553">
        <f>D57+D58+D61</f>
        <v>9672.653</v>
      </c>
      <c r="E56" s="553">
        <f>E57+E58+E61</f>
        <v>11838.878</v>
      </c>
      <c r="F56" s="553">
        <f>F57+F58+F61</f>
        <v>0</v>
      </c>
      <c r="G56" s="553">
        <f>G57+G58+G61</f>
        <v>10847.03</v>
      </c>
      <c r="H56" s="553">
        <f>G56/D56*100</f>
        <v>112.14120882864297</v>
      </c>
      <c r="I56" s="553">
        <f t="shared" si="10"/>
        <v>91.62211148725412</v>
      </c>
      <c r="J56" s="1314">
        <f>J57+J58+J61</f>
        <v>13578.312000000002</v>
      </c>
      <c r="K56" s="1158">
        <f t="shared" si="6"/>
        <v>125.17999858025655</v>
      </c>
      <c r="L56" s="4">
        <f>E56/D56*100</f>
        <v>122.39535523501152</v>
      </c>
      <c r="Q56" s="157"/>
    </row>
    <row r="57" spans="1:18" ht="24.75" customHeight="1">
      <c r="A57" s="114" t="s">
        <v>11</v>
      </c>
      <c r="B57" s="112" t="s">
        <v>42</v>
      </c>
      <c r="C57" s="114" t="s">
        <v>9</v>
      </c>
      <c r="D57" s="554">
        <v>2266.679</v>
      </c>
      <c r="E57" s="554">
        <v>2939.1600000000003</v>
      </c>
      <c r="F57" s="554"/>
      <c r="G57" s="551">
        <v>2117.6</v>
      </c>
      <c r="H57" s="554">
        <f>G57/D57*100</f>
        <v>93.42302108062059</v>
      </c>
      <c r="I57" s="554">
        <f t="shared" si="10"/>
        <v>72.04779596891628</v>
      </c>
      <c r="J57" s="551">
        <f>G57+G57*20%</f>
        <v>2541.12</v>
      </c>
      <c r="K57" s="1167">
        <f t="shared" si="6"/>
        <v>120</v>
      </c>
      <c r="Q57" s="140">
        <f>G57/D57*100</f>
        <v>93.42302108062059</v>
      </c>
      <c r="R57" s="1319">
        <f>100-Q57</f>
        <v>6.576978919379414</v>
      </c>
    </row>
    <row r="58" spans="1:17" ht="24.75" customHeight="1">
      <c r="A58" s="114" t="s">
        <v>11</v>
      </c>
      <c r="B58" s="112" t="s">
        <v>43</v>
      </c>
      <c r="C58" s="114" t="s">
        <v>9</v>
      </c>
      <c r="D58" s="554">
        <f>D59+D60</f>
        <v>7405.974</v>
      </c>
      <c r="E58" s="554">
        <f>E59+E60</f>
        <v>8831.718</v>
      </c>
      <c r="F58" s="554">
        <f>F59+F60</f>
        <v>0</v>
      </c>
      <c r="G58" s="554">
        <v>8729.43</v>
      </c>
      <c r="H58" s="554">
        <f>G58/D58*100</f>
        <v>117.87011404576899</v>
      </c>
      <c r="I58" s="554">
        <f t="shared" si="10"/>
        <v>98.8418108458626</v>
      </c>
      <c r="J58" s="554">
        <f>J59+J60</f>
        <v>10969.192000000001</v>
      </c>
      <c r="K58" s="1167">
        <f t="shared" si="6"/>
        <v>125.65759734598939</v>
      </c>
      <c r="Q58" s="140"/>
    </row>
    <row r="59" spans="1:18" s="5" customFormat="1" ht="24.75" customHeight="1">
      <c r="A59" s="16" t="s">
        <v>466</v>
      </c>
      <c r="B59" s="141" t="s">
        <v>494</v>
      </c>
      <c r="C59" s="16" t="s">
        <v>9</v>
      </c>
      <c r="D59" s="552">
        <v>2735.703</v>
      </c>
      <c r="E59" s="552">
        <v>2970.973</v>
      </c>
      <c r="F59" s="552"/>
      <c r="G59" s="1327">
        <v>2739.67</v>
      </c>
      <c r="H59" s="552">
        <f>G59/D59*100</f>
        <v>100.14500843110528</v>
      </c>
      <c r="I59" s="552">
        <f t="shared" si="10"/>
        <v>92.21457078203001</v>
      </c>
      <c r="J59" s="1346">
        <f>(2034033+867447)/1000+480</f>
        <v>3381.48</v>
      </c>
      <c r="K59" s="1180">
        <f t="shared" si="6"/>
        <v>123.42654407282629</v>
      </c>
      <c r="Q59" s="1188"/>
      <c r="R59" s="5">
        <f>100-H59</f>
        <v>-0.14500843110528194</v>
      </c>
    </row>
    <row r="60" spans="1:17" s="5" customFormat="1" ht="24.75" customHeight="1">
      <c r="A60" s="16" t="s">
        <v>466</v>
      </c>
      <c r="B60" s="141" t="s">
        <v>467</v>
      </c>
      <c r="C60" s="16" t="s">
        <v>9</v>
      </c>
      <c r="D60" s="552">
        <v>4670.271</v>
      </c>
      <c r="E60" s="552">
        <v>5860.745</v>
      </c>
      <c r="F60" s="552"/>
      <c r="G60" s="557">
        <v>5989.76</v>
      </c>
      <c r="H60" s="552">
        <f>G60/D60*100</f>
        <v>128.25294292344066</v>
      </c>
      <c r="I60" s="552">
        <f t="shared" si="10"/>
        <v>102.20134129705355</v>
      </c>
      <c r="J60" s="1186">
        <f>G60+G60*20%+400</f>
        <v>7587.712</v>
      </c>
      <c r="K60" s="1180">
        <f t="shared" si="6"/>
        <v>126.67806389571537</v>
      </c>
      <c r="Q60" s="1188"/>
    </row>
    <row r="61" spans="1:17" ht="24.75" customHeight="1">
      <c r="A61" s="114" t="s">
        <v>11</v>
      </c>
      <c r="B61" s="112" t="s">
        <v>44</v>
      </c>
      <c r="C61" s="114" t="s">
        <v>9</v>
      </c>
      <c r="D61" s="554"/>
      <c r="E61" s="554">
        <v>68</v>
      </c>
      <c r="F61" s="554"/>
      <c r="G61" s="554"/>
      <c r="H61" s="553"/>
      <c r="I61" s="553"/>
      <c r="J61" s="554">
        <v>68</v>
      </c>
      <c r="K61" s="1167"/>
      <c r="M61" s="122">
        <v>22.43</v>
      </c>
      <c r="Q61" s="140"/>
    </row>
    <row r="62" spans="1:17" ht="24.75" customHeight="1">
      <c r="A62" s="114"/>
      <c r="B62" s="159"/>
      <c r="C62" s="114"/>
      <c r="D62" s="554"/>
      <c r="E62" s="554"/>
      <c r="F62" s="554"/>
      <c r="G62" s="554"/>
      <c r="H62" s="554"/>
      <c r="I62" s="554"/>
      <c r="J62" s="554"/>
      <c r="K62" s="554"/>
      <c r="M62" s="140"/>
      <c r="Q62" s="140"/>
    </row>
    <row r="63" spans="1:14" s="5" customFormat="1" ht="24.75" customHeight="1" hidden="1">
      <c r="A63" s="16"/>
      <c r="B63" s="160"/>
      <c r="C63" s="114"/>
      <c r="D63" s="16"/>
      <c r="E63" s="16"/>
      <c r="F63" s="16"/>
      <c r="G63" s="16"/>
      <c r="H63" s="161"/>
      <c r="I63" s="161"/>
      <c r="J63" s="16"/>
      <c r="K63" s="16"/>
      <c r="M63" s="122"/>
      <c r="N63" s="122"/>
    </row>
    <row r="64" spans="1:14" s="5" customFormat="1" ht="24.75" customHeight="1" hidden="1">
      <c r="A64" s="16"/>
      <c r="B64" s="160"/>
      <c r="C64" s="114"/>
      <c r="D64" s="16"/>
      <c r="E64" s="16"/>
      <c r="F64" s="16"/>
      <c r="G64" s="16"/>
      <c r="H64" s="161"/>
      <c r="I64" s="161"/>
      <c r="J64" s="16"/>
      <c r="K64" s="16"/>
      <c r="L64" s="5">
        <f>F58/E58*100</f>
        <v>0</v>
      </c>
      <c r="M64" s="122"/>
      <c r="N64" s="122"/>
    </row>
  </sheetData>
  <sheetProtection/>
  <mergeCells count="11">
    <mergeCell ref="C6:C7"/>
    <mergeCell ref="D6:D7"/>
    <mergeCell ref="J6:J7"/>
    <mergeCell ref="K6:K7"/>
    <mergeCell ref="E6:I6"/>
    <mergeCell ref="A4:K4"/>
    <mergeCell ref="I1:K1"/>
    <mergeCell ref="A2:K2"/>
    <mergeCell ref="A3:K3"/>
    <mergeCell ref="A6:A7"/>
    <mergeCell ref="B6:B7"/>
  </mergeCells>
  <printOptions horizontalCentered="1"/>
  <pageMargins left="0.3937007874015748" right="0.3937007874015748" top="0.1968503937007874" bottom="0.3937007874015748" header="0.31496062992125984" footer="0.31496062992125984"/>
  <pageSetup firstPageNumber="1" useFirstPageNumber="1" fitToHeight="0" fitToWidth="1" horizontalDpi="600" verticalDpi="600" orientation="landscape" paperSize="9" scale="89" r:id="rId1"/>
  <headerFooter differentFirst="1">
    <oddFooter>&amp;R&amp;P</oddFooter>
  </headerFooter>
</worksheet>
</file>

<file path=xl/worksheets/sheet10.xml><?xml version="1.0" encoding="utf-8"?>
<worksheet xmlns="http://schemas.openxmlformats.org/spreadsheetml/2006/main" xmlns:r="http://schemas.openxmlformats.org/officeDocument/2006/relationships">
  <sheetPr>
    <tabColor rgb="FFFF0000"/>
  </sheetPr>
  <dimension ref="A1:R96"/>
  <sheetViews>
    <sheetView view="pageBreakPreview" zoomScale="110" zoomScaleSheetLayoutView="11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F5" sqref="F5:F6"/>
    </sheetView>
  </sheetViews>
  <sheetFormatPr defaultColWidth="8.625" defaultRowHeight="14.25" customHeight="1"/>
  <cols>
    <col min="1" max="1" width="3.50390625" style="456" customWidth="1"/>
    <col min="2" max="2" width="26.875" style="456" customWidth="1"/>
    <col min="3" max="3" width="6.625" style="456" customWidth="1"/>
    <col min="4" max="5" width="7.00390625" style="456" customWidth="1"/>
    <col min="6" max="6" width="7.00390625" style="547" customWidth="1"/>
    <col min="7" max="17" width="6.125" style="456" customWidth="1"/>
    <col min="18" max="18" width="6.75390625" style="456" customWidth="1"/>
    <col min="19" max="16384" width="8.625" style="456" customWidth="1"/>
  </cols>
  <sheetData>
    <row r="1" spans="1:18" ht="16.5" customHeight="1">
      <c r="A1" s="1443" t="s">
        <v>780</v>
      </c>
      <c r="B1" s="1443"/>
      <c r="C1" s="453"/>
      <c r="D1" s="454"/>
      <c r="E1" s="454"/>
      <c r="F1" s="538"/>
      <c r="G1" s="454"/>
      <c r="H1" s="454"/>
      <c r="I1" s="454"/>
      <c r="J1" s="454"/>
      <c r="K1" s="454"/>
      <c r="L1" s="454"/>
      <c r="M1" s="454"/>
      <c r="N1" s="454"/>
      <c r="O1" s="454"/>
      <c r="P1" s="454"/>
      <c r="Q1" s="455"/>
      <c r="R1" s="455"/>
    </row>
    <row r="2" spans="1:18" s="223" customFormat="1" ht="18" customHeight="1">
      <c r="A2" s="1429" t="s">
        <v>1302</v>
      </c>
      <c r="B2" s="1429"/>
      <c r="C2" s="1429"/>
      <c r="D2" s="1429"/>
      <c r="E2" s="1429"/>
      <c r="F2" s="1429"/>
      <c r="G2" s="1429"/>
      <c r="H2" s="1429"/>
      <c r="I2" s="1429"/>
      <c r="J2" s="1429"/>
      <c r="K2" s="1429"/>
      <c r="L2" s="1429"/>
      <c r="M2" s="1429"/>
      <c r="N2" s="1429"/>
      <c r="O2" s="1429"/>
      <c r="P2" s="1429"/>
      <c r="Q2" s="1429"/>
      <c r="R2" s="1429"/>
    </row>
    <row r="3" spans="1:18" s="223" customFormat="1" ht="18.75" customHeight="1">
      <c r="A3" s="1414" t="s">
        <v>1399</v>
      </c>
      <c r="B3" s="1414"/>
      <c r="C3" s="1414"/>
      <c r="D3" s="1414"/>
      <c r="E3" s="1414"/>
      <c r="F3" s="1414"/>
      <c r="G3" s="1414"/>
      <c r="H3" s="1414"/>
      <c r="I3" s="1414"/>
      <c r="J3" s="1414"/>
      <c r="K3" s="1414"/>
      <c r="L3" s="1414"/>
      <c r="M3" s="1414"/>
      <c r="N3" s="1414"/>
      <c r="O3" s="1414"/>
      <c r="P3" s="1414"/>
      <c r="Q3" s="1414"/>
      <c r="R3" s="1414"/>
    </row>
    <row r="4" spans="1:17" s="223" customFormat="1" ht="14.25" customHeight="1">
      <c r="A4" s="457"/>
      <c r="C4" s="228"/>
      <c r="D4" s="228"/>
      <c r="E4" s="228"/>
      <c r="F4" s="539"/>
      <c r="G4" s="228"/>
      <c r="H4" s="228"/>
      <c r="I4" s="228"/>
      <c r="J4" s="228"/>
      <c r="K4" s="228"/>
      <c r="L4" s="228"/>
      <c r="M4" s="228"/>
      <c r="N4" s="228"/>
      <c r="O4" s="228"/>
      <c r="P4" s="228"/>
      <c r="Q4" s="458"/>
    </row>
    <row r="5" spans="1:18" s="212" customFormat="1" ht="17.25" customHeight="1">
      <c r="A5" s="1444" t="s">
        <v>781</v>
      </c>
      <c r="B5" s="1444" t="s">
        <v>557</v>
      </c>
      <c r="C5" s="1444" t="s">
        <v>782</v>
      </c>
      <c r="D5" s="1445" t="s">
        <v>1294</v>
      </c>
      <c r="E5" s="1445" t="s">
        <v>1295</v>
      </c>
      <c r="F5" s="1440" t="s">
        <v>1282</v>
      </c>
      <c r="G5" s="1446" t="s">
        <v>783</v>
      </c>
      <c r="H5" s="1447"/>
      <c r="I5" s="1447"/>
      <c r="J5" s="1447"/>
      <c r="K5" s="1447"/>
      <c r="L5" s="1447"/>
      <c r="M5" s="1447"/>
      <c r="N5" s="1447"/>
      <c r="O5" s="1447"/>
      <c r="P5" s="1448"/>
      <c r="Q5" s="1441" t="s">
        <v>517</v>
      </c>
      <c r="R5" s="1442"/>
    </row>
    <row r="6" spans="1:18" s="212" customFormat="1" ht="38.25">
      <c r="A6" s="1444"/>
      <c r="B6" s="1444"/>
      <c r="C6" s="1444"/>
      <c r="D6" s="1445"/>
      <c r="E6" s="1445"/>
      <c r="F6" s="1440"/>
      <c r="G6" s="567" t="s">
        <v>784</v>
      </c>
      <c r="H6" s="567" t="s">
        <v>500</v>
      </c>
      <c r="I6" s="567" t="s">
        <v>686</v>
      </c>
      <c r="J6" s="567" t="s">
        <v>785</v>
      </c>
      <c r="K6" s="567" t="s">
        <v>563</v>
      </c>
      <c r="L6" s="567" t="s">
        <v>564</v>
      </c>
      <c r="M6" s="459" t="s">
        <v>1050</v>
      </c>
      <c r="N6" s="567" t="s">
        <v>565</v>
      </c>
      <c r="O6" s="567" t="s">
        <v>566</v>
      </c>
      <c r="P6" s="567" t="s">
        <v>568</v>
      </c>
      <c r="Q6" s="568" t="s">
        <v>985</v>
      </c>
      <c r="R6" s="568" t="s">
        <v>1303</v>
      </c>
    </row>
    <row r="7" spans="1:18" s="212" customFormat="1" ht="14.25" customHeight="1">
      <c r="A7" s="460" t="s">
        <v>46</v>
      </c>
      <c r="B7" s="461" t="s">
        <v>786</v>
      </c>
      <c r="C7" s="768"/>
      <c r="D7" s="277"/>
      <c r="E7" s="277"/>
      <c r="F7" s="540"/>
      <c r="G7" s="277"/>
      <c r="H7" s="277"/>
      <c r="I7" s="277"/>
      <c r="J7" s="277"/>
      <c r="K7" s="277"/>
      <c r="L7" s="277"/>
      <c r="M7" s="277"/>
      <c r="N7" s="277"/>
      <c r="O7" s="277"/>
      <c r="P7" s="277"/>
      <c r="Q7" s="462"/>
      <c r="R7" s="462"/>
    </row>
    <row r="8" spans="1:18" s="212" customFormat="1" ht="25.5">
      <c r="A8" s="463" t="s">
        <v>104</v>
      </c>
      <c r="B8" s="464" t="s">
        <v>787</v>
      </c>
      <c r="C8" s="769"/>
      <c r="D8" s="278"/>
      <c r="E8" s="278"/>
      <c r="F8" s="541"/>
      <c r="G8" s="278"/>
      <c r="H8" s="278"/>
      <c r="I8" s="278"/>
      <c r="J8" s="278"/>
      <c r="K8" s="278"/>
      <c r="L8" s="278"/>
      <c r="M8" s="278"/>
      <c r="N8" s="278"/>
      <c r="O8" s="278"/>
      <c r="P8" s="278"/>
      <c r="Q8" s="278"/>
      <c r="R8" s="278"/>
    </row>
    <row r="9" spans="1:18" s="212" customFormat="1" ht="25.5">
      <c r="A9" s="232" t="s">
        <v>788</v>
      </c>
      <c r="B9" s="233" t="s">
        <v>789</v>
      </c>
      <c r="C9" s="234" t="s">
        <v>790</v>
      </c>
      <c r="D9" s="809">
        <v>88268</v>
      </c>
      <c r="E9" s="809">
        <v>90340</v>
      </c>
      <c r="F9" s="810">
        <v>101635</v>
      </c>
      <c r="G9" s="793">
        <v>14980</v>
      </c>
      <c r="H9" s="793">
        <v>24500</v>
      </c>
      <c r="I9" s="793">
        <v>8900</v>
      </c>
      <c r="J9" s="793">
        <v>15500</v>
      </c>
      <c r="K9" s="793">
        <v>9620</v>
      </c>
      <c r="L9" s="793">
        <v>8410</v>
      </c>
      <c r="M9" s="793">
        <v>2890</v>
      </c>
      <c r="N9" s="793">
        <v>6015</v>
      </c>
      <c r="O9" s="793">
        <v>4720</v>
      </c>
      <c r="P9" s="793">
        <v>6100</v>
      </c>
      <c r="Q9" s="749">
        <f>E9/D9*100</f>
        <v>102.34739656500658</v>
      </c>
      <c r="R9" s="279">
        <f>F9/E9*100</f>
        <v>112.50276732344477</v>
      </c>
    </row>
    <row r="10" spans="1:18" s="212" customFormat="1" ht="12.75">
      <c r="A10" s="232" t="s">
        <v>791</v>
      </c>
      <c r="B10" s="233" t="s">
        <v>792</v>
      </c>
      <c r="C10" s="234" t="s">
        <v>790</v>
      </c>
      <c r="D10" s="810">
        <v>79594</v>
      </c>
      <c r="E10" s="810">
        <v>85030</v>
      </c>
      <c r="F10" s="810">
        <v>92350</v>
      </c>
      <c r="G10" s="793">
        <v>14590</v>
      </c>
      <c r="H10" s="793">
        <v>23070</v>
      </c>
      <c r="I10" s="793">
        <v>7390</v>
      </c>
      <c r="J10" s="793">
        <v>13200</v>
      </c>
      <c r="K10" s="793">
        <v>8995</v>
      </c>
      <c r="L10" s="793">
        <v>8010</v>
      </c>
      <c r="M10" s="793">
        <v>2760</v>
      </c>
      <c r="N10" s="793">
        <v>5040</v>
      </c>
      <c r="O10" s="793">
        <v>3980</v>
      </c>
      <c r="P10" s="793">
        <v>5315</v>
      </c>
      <c r="Q10" s="749">
        <f aca="true" t="shared" si="0" ref="Q10:Q72">E10/D10*100</f>
        <v>106.82966052717542</v>
      </c>
      <c r="R10" s="279">
        <f aca="true" t="shared" si="1" ref="R10:R72">F10/E10*100</f>
        <v>108.60872633188285</v>
      </c>
    </row>
    <row r="11" spans="1:18" s="390" customFormat="1" ht="25.5">
      <c r="A11" s="770"/>
      <c r="B11" s="771" t="s">
        <v>793</v>
      </c>
      <c r="C11" s="772" t="s">
        <v>19</v>
      </c>
      <c r="D11" s="811">
        <v>63.1</v>
      </c>
      <c r="E11" s="812">
        <v>66</v>
      </c>
      <c r="F11" s="812">
        <v>70</v>
      </c>
      <c r="G11" s="794">
        <v>95.28474399164054</v>
      </c>
      <c r="H11" s="794">
        <v>77.54100564667922</v>
      </c>
      <c r="I11" s="795">
        <v>56.49847094801223</v>
      </c>
      <c r="J11" s="795">
        <v>68.33359217269762</v>
      </c>
      <c r="K11" s="794">
        <v>80.74506283662477</v>
      </c>
      <c r="L11" s="795">
        <v>69.96244213468425</v>
      </c>
      <c r="M11" s="795">
        <v>90.4621435594887</v>
      </c>
      <c r="N11" s="795">
        <v>51.55482815057283</v>
      </c>
      <c r="O11" s="794">
        <v>45.299339858866375</v>
      </c>
      <c r="P11" s="795">
        <v>53</v>
      </c>
      <c r="Q11" s="749">
        <f t="shared" si="0"/>
        <v>104.5958795562599</v>
      </c>
      <c r="R11" s="279">
        <f t="shared" si="1"/>
        <v>106.06060606060606</v>
      </c>
    </row>
    <row r="12" spans="1:18" s="212" customFormat="1" ht="25.5">
      <c r="A12" s="232" t="s">
        <v>794</v>
      </c>
      <c r="B12" s="233" t="s">
        <v>795</v>
      </c>
      <c r="C12" s="234" t="s">
        <v>515</v>
      </c>
      <c r="D12" s="750">
        <v>1396</v>
      </c>
      <c r="E12" s="750">
        <v>1210</v>
      </c>
      <c r="F12" s="750">
        <v>1155</v>
      </c>
      <c r="G12" s="813">
        <v>107</v>
      </c>
      <c r="H12" s="813">
        <v>280</v>
      </c>
      <c r="I12" s="813">
        <v>150</v>
      </c>
      <c r="J12" s="813">
        <v>140</v>
      </c>
      <c r="K12" s="813">
        <v>90</v>
      </c>
      <c r="L12" s="813">
        <v>90</v>
      </c>
      <c r="M12" s="813">
        <v>38</v>
      </c>
      <c r="N12" s="813">
        <v>85</v>
      </c>
      <c r="O12" s="813">
        <v>80</v>
      </c>
      <c r="P12" s="813">
        <v>95</v>
      </c>
      <c r="Q12" s="749">
        <f t="shared" si="0"/>
        <v>86.67621776504298</v>
      </c>
      <c r="R12" s="279">
        <f t="shared" si="1"/>
        <v>95.45454545454545</v>
      </c>
    </row>
    <row r="13" spans="1:18" s="212" customFormat="1" ht="12.75">
      <c r="A13" s="232" t="s">
        <v>796</v>
      </c>
      <c r="B13" s="233" t="s">
        <v>797</v>
      </c>
      <c r="C13" s="234" t="s">
        <v>515</v>
      </c>
      <c r="D13" s="750">
        <v>1121</v>
      </c>
      <c r="E13" s="750">
        <v>963</v>
      </c>
      <c r="F13" s="750">
        <v>892.62</v>
      </c>
      <c r="G13" s="813">
        <v>97</v>
      </c>
      <c r="H13" s="813">
        <v>255</v>
      </c>
      <c r="I13" s="813">
        <v>108.9</v>
      </c>
      <c r="J13" s="813">
        <v>90</v>
      </c>
      <c r="K13" s="813">
        <v>61</v>
      </c>
      <c r="L13" s="813">
        <v>76</v>
      </c>
      <c r="M13" s="813">
        <v>35.72</v>
      </c>
      <c r="N13" s="813">
        <v>65</v>
      </c>
      <c r="O13" s="813">
        <v>45</v>
      </c>
      <c r="P13" s="813">
        <v>59</v>
      </c>
      <c r="Q13" s="749">
        <f t="shared" si="0"/>
        <v>85.90544157002677</v>
      </c>
      <c r="R13" s="279">
        <f t="shared" si="1"/>
        <v>92.69158878504673</v>
      </c>
    </row>
    <row r="14" spans="1:18" s="390" customFormat="1" ht="25.5">
      <c r="A14" s="232" t="s">
        <v>800</v>
      </c>
      <c r="B14" s="233" t="s">
        <v>798</v>
      </c>
      <c r="C14" s="234" t="s">
        <v>19</v>
      </c>
      <c r="D14" s="814">
        <v>61.831218974076116</v>
      </c>
      <c r="E14" s="814">
        <v>61.77036561898653</v>
      </c>
      <c r="F14" s="815">
        <v>61.944482997918115</v>
      </c>
      <c r="G14" s="814">
        <v>90.65420560747664</v>
      </c>
      <c r="H14" s="814">
        <v>74.7800586510264</v>
      </c>
      <c r="I14" s="814">
        <v>55.00000000000001</v>
      </c>
      <c r="J14" s="814">
        <v>50.847457627118644</v>
      </c>
      <c r="K14" s="814">
        <v>51.69491525423729</v>
      </c>
      <c r="L14" s="814">
        <v>62.8099173553719</v>
      </c>
      <c r="M14" s="814">
        <v>94</v>
      </c>
      <c r="N14" s="814">
        <v>59.09090909090909</v>
      </c>
      <c r="O14" s="814">
        <v>40.909090909090914</v>
      </c>
      <c r="P14" s="814">
        <v>48.760330578512395</v>
      </c>
      <c r="Q14" s="749">
        <f t="shared" si="0"/>
        <v>99.9015815051049</v>
      </c>
      <c r="R14" s="279">
        <f t="shared" si="1"/>
        <v>100.28187849818725</v>
      </c>
    </row>
    <row r="15" spans="1:18" s="221" customFormat="1" ht="12.75" customHeight="1" hidden="1">
      <c r="A15" s="463"/>
      <c r="B15" s="464" t="s">
        <v>799</v>
      </c>
      <c r="C15" s="769"/>
      <c r="D15" s="751">
        <v>1813</v>
      </c>
      <c r="E15" s="751">
        <v>1559</v>
      </c>
      <c r="F15" s="751">
        <v>1441</v>
      </c>
      <c r="G15" s="816">
        <v>107</v>
      </c>
      <c r="H15" s="816">
        <v>341</v>
      </c>
      <c r="I15" s="816">
        <v>198</v>
      </c>
      <c r="J15" s="816">
        <v>177</v>
      </c>
      <c r="K15" s="816">
        <v>118</v>
      </c>
      <c r="L15" s="816">
        <v>121</v>
      </c>
      <c r="M15" s="816">
        <v>38</v>
      </c>
      <c r="N15" s="816">
        <v>110</v>
      </c>
      <c r="O15" s="816">
        <v>110</v>
      </c>
      <c r="P15" s="816">
        <v>121</v>
      </c>
      <c r="Q15" s="866">
        <f t="shared" si="0"/>
        <v>85.99007170435742</v>
      </c>
      <c r="R15" s="867">
        <f t="shared" si="1"/>
        <v>92.43104554201412</v>
      </c>
    </row>
    <row r="16" spans="1:18" s="212" customFormat="1" ht="25.5">
      <c r="A16" s="232" t="s">
        <v>803</v>
      </c>
      <c r="B16" s="233" t="s">
        <v>801</v>
      </c>
      <c r="C16" s="234" t="s">
        <v>802</v>
      </c>
      <c r="D16" s="817">
        <v>1279</v>
      </c>
      <c r="E16" s="817">
        <v>1295</v>
      </c>
      <c r="F16" s="818">
        <v>1292</v>
      </c>
      <c r="G16" s="796">
        <v>270</v>
      </c>
      <c r="H16" s="796">
        <v>167</v>
      </c>
      <c r="I16" s="796">
        <v>115</v>
      </c>
      <c r="J16" s="796">
        <v>140</v>
      </c>
      <c r="K16" s="796">
        <v>98</v>
      </c>
      <c r="L16" s="796">
        <v>120</v>
      </c>
      <c r="M16" s="796">
        <v>60</v>
      </c>
      <c r="N16" s="796">
        <v>115</v>
      </c>
      <c r="O16" s="796">
        <v>107</v>
      </c>
      <c r="P16" s="796">
        <v>100</v>
      </c>
      <c r="Q16" s="749">
        <f t="shared" si="0"/>
        <v>101.25097732603597</v>
      </c>
      <c r="R16" s="279">
        <f t="shared" si="1"/>
        <v>99.76833976833976</v>
      </c>
    </row>
    <row r="17" spans="1:18" s="212" customFormat="1" ht="25.5">
      <c r="A17" s="232" t="s">
        <v>807</v>
      </c>
      <c r="B17" s="233" t="s">
        <v>804</v>
      </c>
      <c r="C17" s="234" t="s">
        <v>805</v>
      </c>
      <c r="D17" s="817">
        <v>1207</v>
      </c>
      <c r="E17" s="817">
        <v>1214</v>
      </c>
      <c r="F17" s="818">
        <v>1228</v>
      </c>
      <c r="G17" s="796">
        <v>266</v>
      </c>
      <c r="H17" s="796">
        <v>162</v>
      </c>
      <c r="I17" s="796">
        <v>100</v>
      </c>
      <c r="J17" s="796">
        <v>136</v>
      </c>
      <c r="K17" s="796">
        <v>96</v>
      </c>
      <c r="L17" s="796">
        <v>105</v>
      </c>
      <c r="M17" s="796">
        <v>58</v>
      </c>
      <c r="N17" s="796">
        <v>111</v>
      </c>
      <c r="O17" s="796">
        <v>103</v>
      </c>
      <c r="P17" s="796">
        <v>91</v>
      </c>
      <c r="Q17" s="749">
        <f t="shared" si="0"/>
        <v>100.57995028997514</v>
      </c>
      <c r="R17" s="279">
        <f t="shared" si="1"/>
        <v>101.15321252059309</v>
      </c>
    </row>
    <row r="18" spans="1:18" s="390" customFormat="1" ht="38.25">
      <c r="A18" s="770"/>
      <c r="B18" s="771" t="s">
        <v>806</v>
      </c>
      <c r="C18" s="772" t="s">
        <v>19</v>
      </c>
      <c r="D18" s="819">
        <v>90.9</v>
      </c>
      <c r="E18" s="820">
        <v>90.9</v>
      </c>
      <c r="F18" s="820">
        <v>91</v>
      </c>
      <c r="G18" s="797">
        <v>98.51851851851852</v>
      </c>
      <c r="H18" s="797">
        <v>97.0059880239521</v>
      </c>
      <c r="I18" s="798">
        <v>84.03361344537815</v>
      </c>
      <c r="J18" s="798">
        <v>95.1048951048951</v>
      </c>
      <c r="K18" s="797">
        <v>97.95918367346938</v>
      </c>
      <c r="L18" s="798">
        <v>85.36585365853658</v>
      </c>
      <c r="M18" s="798">
        <v>96.66666666666667</v>
      </c>
      <c r="N18" s="798">
        <v>86.04651162790698</v>
      </c>
      <c r="O18" s="797">
        <v>96.26168224299066</v>
      </c>
      <c r="P18" s="798">
        <v>90</v>
      </c>
      <c r="Q18" s="749">
        <f t="shared" si="0"/>
        <v>100</v>
      </c>
      <c r="R18" s="279">
        <f t="shared" si="1"/>
        <v>100.1100110011001</v>
      </c>
    </row>
    <row r="19" spans="1:18" s="212" customFormat="1" ht="25.5">
      <c r="A19" s="232" t="s">
        <v>809</v>
      </c>
      <c r="B19" s="233" t="s">
        <v>808</v>
      </c>
      <c r="C19" s="234" t="s">
        <v>83</v>
      </c>
      <c r="D19" s="752">
        <v>33</v>
      </c>
      <c r="E19" s="752">
        <v>41</v>
      </c>
      <c r="F19" s="753">
        <v>54</v>
      </c>
      <c r="G19" s="773">
        <v>2</v>
      </c>
      <c r="H19" s="773">
        <v>19</v>
      </c>
      <c r="I19" s="773">
        <v>3</v>
      </c>
      <c r="J19" s="773">
        <v>8</v>
      </c>
      <c r="K19" s="773">
        <v>5</v>
      </c>
      <c r="L19" s="773">
        <v>1</v>
      </c>
      <c r="M19" s="773">
        <v>1</v>
      </c>
      <c r="N19" s="773">
        <v>5</v>
      </c>
      <c r="O19" s="773">
        <v>3</v>
      </c>
      <c r="P19" s="773">
        <v>7</v>
      </c>
      <c r="Q19" s="749">
        <f t="shared" si="0"/>
        <v>124.24242424242425</v>
      </c>
      <c r="R19" s="279">
        <f t="shared" si="1"/>
        <v>131.70731707317074</v>
      </c>
    </row>
    <row r="20" spans="1:18" s="212" customFormat="1" ht="12.75">
      <c r="A20" s="232" t="s">
        <v>812</v>
      </c>
      <c r="B20" s="233" t="s">
        <v>810</v>
      </c>
      <c r="C20" s="234" t="s">
        <v>805</v>
      </c>
      <c r="D20" s="821">
        <v>11</v>
      </c>
      <c r="E20" s="822">
        <v>15</v>
      </c>
      <c r="F20" s="753">
        <v>27</v>
      </c>
      <c r="G20" s="774">
        <v>2</v>
      </c>
      <c r="H20" s="774">
        <v>12</v>
      </c>
      <c r="I20" s="774">
        <v>1</v>
      </c>
      <c r="J20" s="774">
        <v>6</v>
      </c>
      <c r="K20" s="773">
        <v>2</v>
      </c>
      <c r="L20" s="773">
        <v>0</v>
      </c>
      <c r="M20" s="773">
        <v>1</v>
      </c>
      <c r="N20" s="773">
        <v>1</v>
      </c>
      <c r="O20" s="773">
        <v>1</v>
      </c>
      <c r="P20" s="773">
        <v>1</v>
      </c>
      <c r="Q20" s="749">
        <f t="shared" si="0"/>
        <v>136.36363636363635</v>
      </c>
      <c r="R20" s="279">
        <f t="shared" si="1"/>
        <v>180</v>
      </c>
    </row>
    <row r="21" spans="1:18" s="390" customFormat="1" ht="25.5">
      <c r="A21" s="770"/>
      <c r="B21" s="771" t="s">
        <v>811</v>
      </c>
      <c r="C21" s="772" t="s">
        <v>19</v>
      </c>
      <c r="D21" s="821">
        <v>9.5</v>
      </c>
      <c r="E21" s="823">
        <v>12.931034482758621</v>
      </c>
      <c r="F21" s="823">
        <v>23.3</v>
      </c>
      <c r="G21" s="799">
        <v>100</v>
      </c>
      <c r="H21" s="799">
        <v>48</v>
      </c>
      <c r="I21" s="799">
        <v>7.6923076923076925</v>
      </c>
      <c r="J21" s="799">
        <v>33.33333333333333</v>
      </c>
      <c r="K21" s="799">
        <v>22.22222222222222</v>
      </c>
      <c r="L21" s="799">
        <v>0</v>
      </c>
      <c r="M21" s="799">
        <v>100</v>
      </c>
      <c r="N21" s="775" t="s">
        <v>1335</v>
      </c>
      <c r="O21" s="799">
        <v>9.090909090909092</v>
      </c>
      <c r="P21" s="799">
        <v>6.666666666666667</v>
      </c>
      <c r="Q21" s="749">
        <f t="shared" si="0"/>
        <v>136.11615245009074</v>
      </c>
      <c r="R21" s="279">
        <f t="shared" si="1"/>
        <v>180.18666666666667</v>
      </c>
    </row>
    <row r="22" spans="1:18" s="212" customFormat="1" ht="25.5">
      <c r="A22" s="232" t="s">
        <v>815</v>
      </c>
      <c r="B22" s="233" t="s">
        <v>813</v>
      </c>
      <c r="C22" s="234" t="s">
        <v>814</v>
      </c>
      <c r="D22" s="754">
        <v>12</v>
      </c>
      <c r="E22" s="754">
        <v>13</v>
      </c>
      <c r="F22" s="753">
        <v>13</v>
      </c>
      <c r="G22" s="776">
        <v>7</v>
      </c>
      <c r="H22" s="776">
        <v>0</v>
      </c>
      <c r="I22" s="776">
        <v>1</v>
      </c>
      <c r="J22" s="776">
        <v>1</v>
      </c>
      <c r="K22" s="776">
        <v>1</v>
      </c>
      <c r="L22" s="776">
        <v>0</v>
      </c>
      <c r="M22" s="776">
        <v>2</v>
      </c>
      <c r="N22" s="776">
        <v>1</v>
      </c>
      <c r="O22" s="776">
        <v>0</v>
      </c>
      <c r="P22" s="776">
        <v>0</v>
      </c>
      <c r="Q22" s="749">
        <f t="shared" si="0"/>
        <v>108.33333333333333</v>
      </c>
      <c r="R22" s="279">
        <f t="shared" si="1"/>
        <v>100</v>
      </c>
    </row>
    <row r="23" spans="1:18" s="212" customFormat="1" ht="25.5">
      <c r="A23" s="232" t="s">
        <v>1336</v>
      </c>
      <c r="B23" s="233" t="s">
        <v>816</v>
      </c>
      <c r="C23" s="234" t="s">
        <v>805</v>
      </c>
      <c r="D23" s="824">
        <v>7</v>
      </c>
      <c r="E23" s="825">
        <v>8</v>
      </c>
      <c r="F23" s="753">
        <v>8</v>
      </c>
      <c r="G23" s="776">
        <v>5</v>
      </c>
      <c r="H23" s="776">
        <v>0</v>
      </c>
      <c r="I23" s="776">
        <v>0</v>
      </c>
      <c r="J23" s="776">
        <v>1</v>
      </c>
      <c r="K23" s="776">
        <v>0</v>
      </c>
      <c r="L23" s="776">
        <v>0</v>
      </c>
      <c r="M23" s="776">
        <v>1</v>
      </c>
      <c r="N23" s="776">
        <v>1</v>
      </c>
      <c r="O23" s="776">
        <v>0</v>
      </c>
      <c r="P23" s="776">
        <v>0</v>
      </c>
      <c r="Q23" s="749">
        <f t="shared" si="0"/>
        <v>114.28571428571428</v>
      </c>
      <c r="R23" s="279">
        <f t="shared" si="1"/>
        <v>100</v>
      </c>
    </row>
    <row r="24" spans="1:18" s="390" customFormat="1" ht="25.5">
      <c r="A24" s="770"/>
      <c r="B24" s="771" t="s">
        <v>817</v>
      </c>
      <c r="C24" s="772" t="s">
        <v>19</v>
      </c>
      <c r="D24" s="824">
        <v>50</v>
      </c>
      <c r="E24" s="826">
        <v>57.1</v>
      </c>
      <c r="F24" s="826">
        <v>57.1</v>
      </c>
      <c r="G24" s="777">
        <v>71.42857142857143</v>
      </c>
      <c r="H24" s="778">
        <v>0</v>
      </c>
      <c r="I24" s="778">
        <v>0</v>
      </c>
      <c r="J24" s="778">
        <v>100</v>
      </c>
      <c r="K24" s="778">
        <v>0</v>
      </c>
      <c r="L24" s="778">
        <v>0</v>
      </c>
      <c r="M24" s="778">
        <v>50</v>
      </c>
      <c r="N24" s="778">
        <v>100</v>
      </c>
      <c r="O24" s="778">
        <v>0</v>
      </c>
      <c r="P24" s="778">
        <v>0</v>
      </c>
      <c r="Q24" s="749">
        <f t="shared" si="0"/>
        <v>114.20000000000002</v>
      </c>
      <c r="R24" s="279">
        <f t="shared" si="1"/>
        <v>100</v>
      </c>
    </row>
    <row r="25" spans="1:18" s="212" customFormat="1" ht="12.75">
      <c r="A25" s="463" t="s">
        <v>114</v>
      </c>
      <c r="B25" s="464" t="s">
        <v>818</v>
      </c>
      <c r="C25" s="769"/>
      <c r="D25" s="278"/>
      <c r="E25" s="278"/>
      <c r="F25" s="541"/>
      <c r="G25" s="761"/>
      <c r="H25" s="761"/>
      <c r="I25" s="761"/>
      <c r="J25" s="761"/>
      <c r="K25" s="761"/>
      <c r="L25" s="763"/>
      <c r="M25" s="761"/>
      <c r="N25" s="763"/>
      <c r="O25" s="763"/>
      <c r="P25" s="761"/>
      <c r="Q25" s="749"/>
      <c r="R25" s="279"/>
    </row>
    <row r="26" spans="1:18" s="212" customFormat="1" ht="38.25">
      <c r="A26" s="232" t="s">
        <v>788</v>
      </c>
      <c r="B26" s="233" t="s">
        <v>819</v>
      </c>
      <c r="C26" s="234" t="s">
        <v>820</v>
      </c>
      <c r="D26" s="827">
        <v>47</v>
      </c>
      <c r="E26" s="827">
        <v>53</v>
      </c>
      <c r="F26" s="827">
        <v>56</v>
      </c>
      <c r="G26" s="282">
        <v>9</v>
      </c>
      <c r="H26" s="282">
        <v>5</v>
      </c>
      <c r="I26" s="282">
        <v>1</v>
      </c>
      <c r="J26" s="282">
        <v>19</v>
      </c>
      <c r="K26" s="282">
        <v>7</v>
      </c>
      <c r="L26" s="284">
        <v>3</v>
      </c>
      <c r="M26" s="282">
        <v>3</v>
      </c>
      <c r="N26" s="284">
        <v>4</v>
      </c>
      <c r="O26" s="284">
        <v>2</v>
      </c>
      <c r="P26" s="282">
        <v>3</v>
      </c>
      <c r="Q26" s="749">
        <f t="shared" si="0"/>
        <v>112.7659574468085</v>
      </c>
      <c r="R26" s="279">
        <f t="shared" si="1"/>
        <v>105.66037735849056</v>
      </c>
    </row>
    <row r="27" spans="1:18" s="390" customFormat="1" ht="25.5">
      <c r="A27" s="770"/>
      <c r="B27" s="771" t="s">
        <v>821</v>
      </c>
      <c r="C27" s="772" t="s">
        <v>19</v>
      </c>
      <c r="D27" s="828">
        <v>36.1</v>
      </c>
      <c r="E27" s="828">
        <v>40.7</v>
      </c>
      <c r="F27" s="828">
        <v>43</v>
      </c>
      <c r="G27" s="800">
        <v>100</v>
      </c>
      <c r="H27" s="800">
        <v>20</v>
      </c>
      <c r="I27" s="800">
        <v>7.4</v>
      </c>
      <c r="J27" s="800">
        <v>100</v>
      </c>
      <c r="K27" s="800">
        <v>70</v>
      </c>
      <c r="L27" s="800">
        <v>25</v>
      </c>
      <c r="M27" s="801">
        <v>100</v>
      </c>
      <c r="N27" s="800">
        <v>33.3</v>
      </c>
      <c r="O27" s="800">
        <v>18.2</v>
      </c>
      <c r="P27" s="868" t="s">
        <v>1337</v>
      </c>
      <c r="Q27" s="749">
        <f t="shared" si="0"/>
        <v>112.74238227146816</v>
      </c>
      <c r="R27" s="279">
        <f t="shared" si="1"/>
        <v>105.65110565110565</v>
      </c>
    </row>
    <row r="28" spans="1:18" s="212" customFormat="1" ht="25.5">
      <c r="A28" s="755" t="s">
        <v>791</v>
      </c>
      <c r="B28" s="756" t="s">
        <v>822</v>
      </c>
      <c r="C28" s="757" t="s">
        <v>823</v>
      </c>
      <c r="D28" s="829">
        <v>312</v>
      </c>
      <c r="E28" s="829">
        <v>307</v>
      </c>
      <c r="F28" s="830">
        <v>289</v>
      </c>
      <c r="G28" s="802">
        <v>21</v>
      </c>
      <c r="H28" s="802">
        <v>40</v>
      </c>
      <c r="I28" s="802">
        <v>21</v>
      </c>
      <c r="J28" s="802">
        <v>117</v>
      </c>
      <c r="K28" s="802">
        <v>12</v>
      </c>
      <c r="L28" s="802">
        <v>11</v>
      </c>
      <c r="M28" s="802">
        <v>12</v>
      </c>
      <c r="N28" s="802">
        <v>18</v>
      </c>
      <c r="O28" s="802">
        <v>30</v>
      </c>
      <c r="P28" s="802">
        <v>7</v>
      </c>
      <c r="Q28" s="749">
        <f t="shared" si="0"/>
        <v>98.3974358974359</v>
      </c>
      <c r="R28" s="279">
        <f t="shared" si="1"/>
        <v>94.13680781758957</v>
      </c>
    </row>
    <row r="29" spans="1:18" s="390" customFormat="1" ht="25.5">
      <c r="A29" s="758"/>
      <c r="B29" s="759" t="s">
        <v>824</v>
      </c>
      <c r="C29" s="760" t="s">
        <v>19</v>
      </c>
      <c r="D29" s="831">
        <v>17.2</v>
      </c>
      <c r="E29" s="803">
        <v>19.692110327132777</v>
      </c>
      <c r="F29" s="804">
        <v>20.05551700208189</v>
      </c>
      <c r="G29" s="803">
        <v>19.626168224299064</v>
      </c>
      <c r="H29" s="803">
        <v>11.730205278592376</v>
      </c>
      <c r="I29" s="803">
        <v>10.606060606060606</v>
      </c>
      <c r="J29" s="803">
        <v>66.10169491525424</v>
      </c>
      <c r="K29" s="803">
        <v>10.16949152542373</v>
      </c>
      <c r="L29" s="803">
        <v>9.090909090909092</v>
      </c>
      <c r="M29" s="803">
        <v>31.57894736842105</v>
      </c>
      <c r="N29" s="803">
        <v>16.363636363636363</v>
      </c>
      <c r="O29" s="803">
        <v>27.27272727272727</v>
      </c>
      <c r="P29" s="803">
        <v>5.785123966942149</v>
      </c>
      <c r="Q29" s="749">
        <f t="shared" si="0"/>
        <v>114.48901352984173</v>
      </c>
      <c r="R29" s="279">
        <f t="shared" si="1"/>
        <v>101.84544301708685</v>
      </c>
    </row>
    <row r="30" spans="1:18" s="212" customFormat="1" ht="38.25">
      <c r="A30" s="232" t="s">
        <v>794</v>
      </c>
      <c r="B30" s="233" t="s">
        <v>825</v>
      </c>
      <c r="C30" s="234" t="s">
        <v>19</v>
      </c>
      <c r="D30" s="832">
        <v>100</v>
      </c>
      <c r="E30" s="832">
        <v>100</v>
      </c>
      <c r="F30" s="832">
        <v>100</v>
      </c>
      <c r="G30" s="832">
        <v>100</v>
      </c>
      <c r="H30" s="832">
        <v>100</v>
      </c>
      <c r="I30" s="832">
        <v>100</v>
      </c>
      <c r="J30" s="832">
        <v>100</v>
      </c>
      <c r="K30" s="832">
        <v>100</v>
      </c>
      <c r="L30" s="832">
        <v>100</v>
      </c>
      <c r="M30" s="832">
        <v>100</v>
      </c>
      <c r="N30" s="832">
        <v>100</v>
      </c>
      <c r="O30" s="832">
        <v>100</v>
      </c>
      <c r="P30" s="832">
        <v>100</v>
      </c>
      <c r="Q30" s="749">
        <f t="shared" si="0"/>
        <v>100</v>
      </c>
      <c r="R30" s="279">
        <f t="shared" si="1"/>
        <v>100</v>
      </c>
    </row>
    <row r="31" spans="1:18" s="212" customFormat="1" ht="25.5">
      <c r="A31" s="463" t="s">
        <v>118</v>
      </c>
      <c r="B31" s="464" t="s">
        <v>826</v>
      </c>
      <c r="C31" s="769"/>
      <c r="D31" s="278"/>
      <c r="E31" s="278"/>
      <c r="F31" s="541"/>
      <c r="G31" s="282"/>
      <c r="H31" s="284"/>
      <c r="I31" s="284"/>
      <c r="J31" s="284"/>
      <c r="K31" s="284"/>
      <c r="L31" s="284"/>
      <c r="M31" s="284"/>
      <c r="N31" s="284"/>
      <c r="O31" s="284"/>
      <c r="P31" s="284"/>
      <c r="Q31" s="749"/>
      <c r="R31" s="279"/>
    </row>
    <row r="32" spans="1:18" s="212" customFormat="1" ht="25.5">
      <c r="A32" s="232" t="s">
        <v>788</v>
      </c>
      <c r="B32" s="233" t="s">
        <v>827</v>
      </c>
      <c r="C32" s="234" t="s">
        <v>828</v>
      </c>
      <c r="D32" s="282">
        <v>1</v>
      </c>
      <c r="E32" s="282">
        <v>1</v>
      </c>
      <c r="F32" s="543">
        <v>1</v>
      </c>
      <c r="G32" s="282">
        <v>1</v>
      </c>
      <c r="H32" s="282">
        <v>0</v>
      </c>
      <c r="I32" s="282">
        <v>0</v>
      </c>
      <c r="J32" s="282">
        <v>0</v>
      </c>
      <c r="K32" s="282">
        <v>0</v>
      </c>
      <c r="L32" s="282">
        <v>0</v>
      </c>
      <c r="M32" s="282">
        <v>0</v>
      </c>
      <c r="N32" s="282">
        <v>0</v>
      </c>
      <c r="O32" s="282">
        <v>0</v>
      </c>
      <c r="P32" s="282">
        <v>0</v>
      </c>
      <c r="Q32" s="749">
        <f t="shared" si="0"/>
        <v>100</v>
      </c>
      <c r="R32" s="279">
        <f t="shared" si="1"/>
        <v>100</v>
      </c>
    </row>
    <row r="33" spans="1:18" s="212" customFormat="1" ht="25.5">
      <c r="A33" s="232" t="s">
        <v>791</v>
      </c>
      <c r="B33" s="233" t="s">
        <v>829</v>
      </c>
      <c r="C33" s="234" t="s">
        <v>828</v>
      </c>
      <c r="D33" s="282">
        <v>8</v>
      </c>
      <c r="E33" s="282">
        <v>10</v>
      </c>
      <c r="F33" s="543">
        <v>10</v>
      </c>
      <c r="G33" s="282">
        <v>1</v>
      </c>
      <c r="H33" s="282">
        <v>1</v>
      </c>
      <c r="I33" s="282">
        <v>1</v>
      </c>
      <c r="J33" s="282">
        <v>1</v>
      </c>
      <c r="K33" s="282">
        <v>1</v>
      </c>
      <c r="L33" s="282">
        <v>1</v>
      </c>
      <c r="M33" s="282">
        <v>1</v>
      </c>
      <c r="N33" s="282">
        <v>1</v>
      </c>
      <c r="O33" s="282">
        <v>1</v>
      </c>
      <c r="P33" s="282">
        <v>1</v>
      </c>
      <c r="Q33" s="749">
        <f t="shared" si="0"/>
        <v>125</v>
      </c>
      <c r="R33" s="279">
        <f t="shared" si="1"/>
        <v>100</v>
      </c>
    </row>
    <row r="34" spans="1:18" s="212" customFormat="1" ht="25.5">
      <c r="A34" s="232" t="s">
        <v>794</v>
      </c>
      <c r="B34" s="233" t="s">
        <v>830</v>
      </c>
      <c r="C34" s="234" t="s">
        <v>828</v>
      </c>
      <c r="D34" s="282">
        <v>10</v>
      </c>
      <c r="E34" s="282">
        <v>10</v>
      </c>
      <c r="F34" s="543">
        <v>10</v>
      </c>
      <c r="G34" s="282">
        <v>1</v>
      </c>
      <c r="H34" s="282">
        <v>1</v>
      </c>
      <c r="I34" s="282">
        <v>1</v>
      </c>
      <c r="J34" s="282">
        <v>1</v>
      </c>
      <c r="K34" s="282">
        <v>1</v>
      </c>
      <c r="L34" s="282">
        <v>1</v>
      </c>
      <c r="M34" s="282">
        <v>1</v>
      </c>
      <c r="N34" s="282">
        <v>1</v>
      </c>
      <c r="O34" s="282">
        <v>1</v>
      </c>
      <c r="P34" s="282">
        <v>1</v>
      </c>
      <c r="Q34" s="749">
        <f t="shared" si="0"/>
        <v>100</v>
      </c>
      <c r="R34" s="279">
        <f t="shared" si="1"/>
        <v>100</v>
      </c>
    </row>
    <row r="35" spans="1:18" s="212" customFormat="1" ht="25.5">
      <c r="A35" s="232"/>
      <c r="B35" s="233" t="s">
        <v>831</v>
      </c>
      <c r="C35" s="234"/>
      <c r="D35" s="282">
        <v>1</v>
      </c>
      <c r="E35" s="282">
        <v>1</v>
      </c>
      <c r="F35" s="543">
        <v>1</v>
      </c>
      <c r="G35" s="282">
        <v>0</v>
      </c>
      <c r="H35" s="282">
        <v>0</v>
      </c>
      <c r="I35" s="282">
        <v>0</v>
      </c>
      <c r="J35" s="282">
        <v>1</v>
      </c>
      <c r="K35" s="282">
        <v>0</v>
      </c>
      <c r="L35" s="282">
        <v>0</v>
      </c>
      <c r="M35" s="282">
        <v>0</v>
      </c>
      <c r="N35" s="282">
        <v>0</v>
      </c>
      <c r="O35" s="282">
        <v>0</v>
      </c>
      <c r="P35" s="282">
        <v>0</v>
      </c>
      <c r="Q35" s="749">
        <f t="shared" si="0"/>
        <v>100</v>
      </c>
      <c r="R35" s="279">
        <f t="shared" si="1"/>
        <v>100</v>
      </c>
    </row>
    <row r="36" spans="1:18" s="390" customFormat="1" ht="38.25">
      <c r="A36" s="770"/>
      <c r="B36" s="771" t="s">
        <v>832</v>
      </c>
      <c r="C36" s="772" t="s">
        <v>833</v>
      </c>
      <c r="D36" s="761">
        <v>130</v>
      </c>
      <c r="E36" s="761">
        <v>130</v>
      </c>
      <c r="F36" s="762">
        <v>130</v>
      </c>
      <c r="G36" s="762">
        <v>9</v>
      </c>
      <c r="H36" s="762">
        <v>25</v>
      </c>
      <c r="I36" s="762">
        <v>14</v>
      </c>
      <c r="J36" s="762">
        <v>19</v>
      </c>
      <c r="K36" s="762">
        <v>10</v>
      </c>
      <c r="L36" s="762">
        <v>12</v>
      </c>
      <c r="M36" s="762">
        <v>3</v>
      </c>
      <c r="N36" s="762">
        <v>12</v>
      </c>
      <c r="O36" s="762">
        <v>11</v>
      </c>
      <c r="P36" s="762">
        <v>15</v>
      </c>
      <c r="Q36" s="749">
        <f t="shared" si="0"/>
        <v>100</v>
      </c>
      <c r="R36" s="279">
        <f t="shared" si="1"/>
        <v>100</v>
      </c>
    </row>
    <row r="37" spans="1:18" s="212" customFormat="1" ht="38.25">
      <c r="A37" s="232" t="s">
        <v>796</v>
      </c>
      <c r="B37" s="233" t="s">
        <v>834</v>
      </c>
      <c r="C37" s="234" t="s">
        <v>833</v>
      </c>
      <c r="D37" s="833">
        <v>57</v>
      </c>
      <c r="E37" s="833">
        <v>66</v>
      </c>
      <c r="F37" s="834">
        <v>78</v>
      </c>
      <c r="G37" s="805">
        <v>9</v>
      </c>
      <c r="H37" s="805">
        <v>11</v>
      </c>
      <c r="I37" s="805">
        <v>4</v>
      </c>
      <c r="J37" s="805">
        <v>10</v>
      </c>
      <c r="K37" s="805">
        <v>10</v>
      </c>
      <c r="L37" s="805">
        <v>6</v>
      </c>
      <c r="M37" s="805">
        <v>3</v>
      </c>
      <c r="N37" s="805">
        <v>10</v>
      </c>
      <c r="O37" s="805">
        <v>0</v>
      </c>
      <c r="P37" s="805">
        <v>15</v>
      </c>
      <c r="Q37" s="749">
        <f t="shared" si="0"/>
        <v>115.78947368421053</v>
      </c>
      <c r="R37" s="279">
        <f t="shared" si="1"/>
        <v>118.18181818181819</v>
      </c>
    </row>
    <row r="38" spans="1:18" s="390" customFormat="1" ht="12.75">
      <c r="A38" s="770"/>
      <c r="B38" s="771" t="s">
        <v>835</v>
      </c>
      <c r="C38" s="772" t="s">
        <v>19</v>
      </c>
      <c r="D38" s="835">
        <v>43.84615384615385</v>
      </c>
      <c r="E38" s="835">
        <v>50.76923076923077</v>
      </c>
      <c r="F38" s="836">
        <v>60</v>
      </c>
      <c r="G38" s="836">
        <v>6.923076923076923</v>
      </c>
      <c r="H38" s="836">
        <v>8.461538461538462</v>
      </c>
      <c r="I38" s="836">
        <v>3.076923076923077</v>
      </c>
      <c r="J38" s="836">
        <v>7.6923076923076925</v>
      </c>
      <c r="K38" s="836">
        <v>7.6923076923076925</v>
      </c>
      <c r="L38" s="836">
        <v>4.615384615384616</v>
      </c>
      <c r="M38" s="836">
        <v>2.307692307692308</v>
      </c>
      <c r="N38" s="836">
        <v>7.6923076923076925</v>
      </c>
      <c r="O38" s="836">
        <v>0</v>
      </c>
      <c r="P38" s="836">
        <v>11.538461538461538</v>
      </c>
      <c r="Q38" s="749">
        <f t="shared" si="0"/>
        <v>115.7894736842105</v>
      </c>
      <c r="R38" s="279">
        <f t="shared" si="1"/>
        <v>118.18181818181819</v>
      </c>
    </row>
    <row r="39" spans="1:18" s="212" customFormat="1" ht="12.75">
      <c r="A39" s="232" t="s">
        <v>800</v>
      </c>
      <c r="B39" s="233" t="s">
        <v>836</v>
      </c>
      <c r="C39" s="234" t="s">
        <v>837</v>
      </c>
      <c r="D39" s="282">
        <v>41</v>
      </c>
      <c r="E39" s="282">
        <v>41</v>
      </c>
      <c r="F39" s="282">
        <v>41</v>
      </c>
      <c r="G39" s="282">
        <v>0</v>
      </c>
      <c r="H39" s="282">
        <v>6</v>
      </c>
      <c r="I39" s="282">
        <v>0</v>
      </c>
      <c r="J39" s="282">
        <v>19</v>
      </c>
      <c r="K39" s="282">
        <v>0</v>
      </c>
      <c r="L39" s="282">
        <v>12</v>
      </c>
      <c r="M39" s="282">
        <v>0</v>
      </c>
      <c r="N39" s="282">
        <v>0</v>
      </c>
      <c r="O39" s="282">
        <v>0</v>
      </c>
      <c r="P39" s="282">
        <v>4</v>
      </c>
      <c r="Q39" s="749">
        <f t="shared" si="0"/>
        <v>100</v>
      </c>
      <c r="R39" s="279">
        <f t="shared" si="1"/>
        <v>100</v>
      </c>
    </row>
    <row r="40" spans="1:18" s="390" customFormat="1" ht="25.5">
      <c r="A40" s="770"/>
      <c r="B40" s="779" t="s">
        <v>838</v>
      </c>
      <c r="C40" s="772" t="s">
        <v>19</v>
      </c>
      <c r="D40" s="763">
        <v>31.538461538461537</v>
      </c>
      <c r="E40" s="763">
        <v>31.538461538461537</v>
      </c>
      <c r="F40" s="763">
        <v>31.538461538461537</v>
      </c>
      <c r="G40" s="763">
        <v>0</v>
      </c>
      <c r="H40" s="763">
        <v>24</v>
      </c>
      <c r="I40" s="763">
        <v>0</v>
      </c>
      <c r="J40" s="763">
        <v>100</v>
      </c>
      <c r="K40" s="763">
        <v>0</v>
      </c>
      <c r="L40" s="763">
        <v>100</v>
      </c>
      <c r="M40" s="763">
        <v>0</v>
      </c>
      <c r="N40" s="763">
        <v>0</v>
      </c>
      <c r="O40" s="763">
        <v>0</v>
      </c>
      <c r="P40" s="763">
        <v>26.666666666666668</v>
      </c>
      <c r="Q40" s="749">
        <f t="shared" si="0"/>
        <v>100</v>
      </c>
      <c r="R40" s="279">
        <f t="shared" si="1"/>
        <v>100</v>
      </c>
    </row>
    <row r="41" spans="1:18" s="212" customFormat="1" ht="25.5">
      <c r="A41" s="232" t="s">
        <v>803</v>
      </c>
      <c r="B41" s="235" t="s">
        <v>839</v>
      </c>
      <c r="C41" s="234" t="s">
        <v>840</v>
      </c>
      <c r="D41" s="282">
        <v>3</v>
      </c>
      <c r="E41" s="280">
        <v>5</v>
      </c>
      <c r="F41" s="543">
        <v>5</v>
      </c>
      <c r="G41" s="282">
        <v>0</v>
      </c>
      <c r="H41" s="282">
        <v>4</v>
      </c>
      <c r="I41" s="282">
        <v>0</v>
      </c>
      <c r="J41" s="282">
        <v>0</v>
      </c>
      <c r="K41" s="282">
        <v>0</v>
      </c>
      <c r="L41" s="282">
        <v>1</v>
      </c>
      <c r="M41" s="282">
        <v>0</v>
      </c>
      <c r="N41" s="282">
        <v>0</v>
      </c>
      <c r="O41" s="282">
        <v>0</v>
      </c>
      <c r="P41" s="282">
        <v>0</v>
      </c>
      <c r="Q41" s="749">
        <f t="shared" si="0"/>
        <v>166.66666666666669</v>
      </c>
      <c r="R41" s="279">
        <f t="shared" si="1"/>
        <v>100</v>
      </c>
    </row>
    <row r="42" spans="1:18" s="390" customFormat="1" ht="25.5">
      <c r="A42" s="770"/>
      <c r="B42" s="779" t="s">
        <v>841</v>
      </c>
      <c r="C42" s="772" t="s">
        <v>19</v>
      </c>
      <c r="D42" s="764">
        <v>2.307692307692308</v>
      </c>
      <c r="E42" s="764">
        <v>3.8461538461538463</v>
      </c>
      <c r="F42" s="764">
        <v>3.8461538461538463</v>
      </c>
      <c r="G42" s="764">
        <v>0</v>
      </c>
      <c r="H42" s="764">
        <v>16</v>
      </c>
      <c r="I42" s="764">
        <v>0</v>
      </c>
      <c r="J42" s="764">
        <v>0</v>
      </c>
      <c r="K42" s="764">
        <v>0</v>
      </c>
      <c r="L42" s="764">
        <v>8.333333333333332</v>
      </c>
      <c r="M42" s="764">
        <v>0</v>
      </c>
      <c r="N42" s="764">
        <v>0</v>
      </c>
      <c r="O42" s="764">
        <v>0</v>
      </c>
      <c r="P42" s="764">
        <v>0</v>
      </c>
      <c r="Q42" s="749">
        <f t="shared" si="0"/>
        <v>166.66666666666666</v>
      </c>
      <c r="R42" s="279">
        <f t="shared" si="1"/>
        <v>100</v>
      </c>
    </row>
    <row r="43" spans="1:18" s="212" customFormat="1" ht="25.5">
      <c r="A43" s="232" t="s">
        <v>807</v>
      </c>
      <c r="B43" s="837" t="s">
        <v>842</v>
      </c>
      <c r="C43" s="757" t="s">
        <v>843</v>
      </c>
      <c r="D43" s="838">
        <v>563</v>
      </c>
      <c r="E43" s="838">
        <v>582</v>
      </c>
      <c r="F43" s="839">
        <v>595</v>
      </c>
      <c r="G43" s="840">
        <v>104</v>
      </c>
      <c r="H43" s="840">
        <v>150</v>
      </c>
      <c r="I43" s="840">
        <v>50</v>
      </c>
      <c r="J43" s="840">
        <v>65</v>
      </c>
      <c r="K43" s="840">
        <v>21</v>
      </c>
      <c r="L43" s="840">
        <v>49</v>
      </c>
      <c r="M43" s="840">
        <v>46</v>
      </c>
      <c r="N43" s="840">
        <v>31</v>
      </c>
      <c r="O43" s="840">
        <v>45</v>
      </c>
      <c r="P43" s="840">
        <v>34</v>
      </c>
      <c r="Q43" s="749">
        <f t="shared" si="0"/>
        <v>103.37477797513321</v>
      </c>
      <c r="R43" s="279">
        <f t="shared" si="1"/>
        <v>102.233676975945</v>
      </c>
    </row>
    <row r="44" spans="1:18" s="390" customFormat="1" ht="38.25">
      <c r="A44" s="232"/>
      <c r="B44" s="759" t="s">
        <v>844</v>
      </c>
      <c r="C44" s="760" t="s">
        <v>19</v>
      </c>
      <c r="D44" s="841">
        <v>31.05350248207391</v>
      </c>
      <c r="E44" s="842">
        <v>37.33162283515073</v>
      </c>
      <c r="F44" s="842">
        <v>41.290770298403885</v>
      </c>
      <c r="G44" s="842">
        <v>97.19626168224299</v>
      </c>
      <c r="H44" s="842">
        <v>43.988269794721404</v>
      </c>
      <c r="I44" s="842">
        <v>25.252525252525253</v>
      </c>
      <c r="J44" s="842">
        <v>36.72316384180791</v>
      </c>
      <c r="K44" s="842">
        <v>17.796610169491526</v>
      </c>
      <c r="L44" s="842">
        <v>40.49586776859504</v>
      </c>
      <c r="M44" s="842">
        <v>121.05263157894737</v>
      </c>
      <c r="N44" s="842">
        <v>28.18181818181818</v>
      </c>
      <c r="O44" s="842">
        <v>40.909090909090914</v>
      </c>
      <c r="P44" s="842">
        <v>28.09917355371901</v>
      </c>
      <c r="Q44" s="749">
        <f t="shared" si="0"/>
        <v>120.21710870360263</v>
      </c>
      <c r="R44" s="279">
        <f t="shared" si="1"/>
        <v>110.60534518077606</v>
      </c>
    </row>
    <row r="45" spans="1:18" s="212" customFormat="1" ht="12.75">
      <c r="A45" s="232" t="s">
        <v>809</v>
      </c>
      <c r="B45" s="756" t="s">
        <v>845</v>
      </c>
      <c r="C45" s="757" t="s">
        <v>846</v>
      </c>
      <c r="D45" s="765">
        <v>69</v>
      </c>
      <c r="E45" s="765">
        <v>128</v>
      </c>
      <c r="F45" s="765">
        <v>128</v>
      </c>
      <c r="G45" s="765">
        <v>8</v>
      </c>
      <c r="H45" s="765">
        <v>9</v>
      </c>
      <c r="I45" s="765">
        <v>39</v>
      </c>
      <c r="J45" s="765">
        <v>26</v>
      </c>
      <c r="K45" s="765">
        <v>5</v>
      </c>
      <c r="L45" s="765">
        <v>24</v>
      </c>
      <c r="M45" s="765">
        <v>1</v>
      </c>
      <c r="N45" s="765">
        <v>5</v>
      </c>
      <c r="O45" s="765">
        <v>4</v>
      </c>
      <c r="P45" s="765">
        <v>7</v>
      </c>
      <c r="Q45" s="749">
        <f t="shared" si="0"/>
        <v>185.5072463768116</v>
      </c>
      <c r="R45" s="279">
        <f t="shared" si="1"/>
        <v>100</v>
      </c>
    </row>
    <row r="46" spans="1:18" s="390" customFormat="1" ht="12.75">
      <c r="A46" s="770"/>
      <c r="B46" s="780" t="s">
        <v>847</v>
      </c>
      <c r="C46" s="760" t="s">
        <v>19</v>
      </c>
      <c r="D46" s="766">
        <v>3.8058466629895205</v>
      </c>
      <c r="E46" s="766">
        <v>8.210391276459267</v>
      </c>
      <c r="F46" s="766">
        <v>8.882720333102013</v>
      </c>
      <c r="G46" s="766">
        <v>7.476635514018691</v>
      </c>
      <c r="H46" s="766">
        <v>2.6392961876832843</v>
      </c>
      <c r="I46" s="766">
        <v>19.696969696969695</v>
      </c>
      <c r="J46" s="766">
        <v>14.689265536723164</v>
      </c>
      <c r="K46" s="766">
        <v>4.23728813559322</v>
      </c>
      <c r="L46" s="766">
        <v>19.834710743801654</v>
      </c>
      <c r="M46" s="766">
        <v>2.631578947368421</v>
      </c>
      <c r="N46" s="766">
        <v>4.545454545454546</v>
      </c>
      <c r="O46" s="766">
        <v>3.6363636363636362</v>
      </c>
      <c r="P46" s="766">
        <v>5.785123966942149</v>
      </c>
      <c r="Q46" s="749">
        <f t="shared" si="0"/>
        <v>215.7310055684152</v>
      </c>
      <c r="R46" s="279">
        <f t="shared" si="1"/>
        <v>108.18875780707845</v>
      </c>
    </row>
    <row r="47" spans="1:18" s="212" customFormat="1" ht="12.75">
      <c r="A47" s="463" t="s">
        <v>127</v>
      </c>
      <c r="B47" s="464" t="s">
        <v>848</v>
      </c>
      <c r="C47" s="769"/>
      <c r="D47" s="465"/>
      <c r="E47" s="283"/>
      <c r="F47" s="544"/>
      <c r="G47" s="282"/>
      <c r="H47" s="282"/>
      <c r="I47" s="282"/>
      <c r="J47" s="282"/>
      <c r="K47" s="282"/>
      <c r="L47" s="282"/>
      <c r="M47" s="282"/>
      <c r="N47" s="282"/>
      <c r="O47" s="282"/>
      <c r="P47" s="282"/>
      <c r="Q47" s="749"/>
      <c r="R47" s="279"/>
    </row>
    <row r="48" spans="1:18" s="212" customFormat="1" ht="38.25">
      <c r="A48" s="232" t="s">
        <v>788</v>
      </c>
      <c r="B48" s="236" t="s">
        <v>849</v>
      </c>
      <c r="C48" s="234" t="s">
        <v>850</v>
      </c>
      <c r="D48" s="281">
        <v>11</v>
      </c>
      <c r="E48" s="281">
        <v>15</v>
      </c>
      <c r="F48" s="542">
        <v>17</v>
      </c>
      <c r="G48" s="282"/>
      <c r="H48" s="282"/>
      <c r="I48" s="282"/>
      <c r="J48" s="282"/>
      <c r="K48" s="282"/>
      <c r="L48" s="282"/>
      <c r="M48" s="282"/>
      <c r="N48" s="282"/>
      <c r="O48" s="282"/>
      <c r="P48" s="282"/>
      <c r="Q48" s="749">
        <f t="shared" si="0"/>
        <v>136.36363636363635</v>
      </c>
      <c r="R48" s="279">
        <f t="shared" si="1"/>
        <v>113.33333333333333</v>
      </c>
    </row>
    <row r="49" spans="1:18" s="212" customFormat="1" ht="38.25">
      <c r="A49" s="232" t="s">
        <v>791</v>
      </c>
      <c r="B49" s="236" t="s">
        <v>851</v>
      </c>
      <c r="C49" s="234" t="s">
        <v>850</v>
      </c>
      <c r="D49" s="843">
        <v>8</v>
      </c>
      <c r="E49" s="843">
        <v>8</v>
      </c>
      <c r="F49" s="843">
        <v>12</v>
      </c>
      <c r="G49" s="282"/>
      <c r="H49" s="282"/>
      <c r="I49" s="282"/>
      <c r="J49" s="282"/>
      <c r="K49" s="282"/>
      <c r="L49" s="282"/>
      <c r="M49" s="282"/>
      <c r="N49" s="282"/>
      <c r="O49" s="282"/>
      <c r="P49" s="282"/>
      <c r="Q49" s="749">
        <f t="shared" si="0"/>
        <v>100</v>
      </c>
      <c r="R49" s="279">
        <f t="shared" si="1"/>
        <v>150</v>
      </c>
    </row>
    <row r="50" spans="1:18" s="212" customFormat="1" ht="51">
      <c r="A50" s="232" t="s">
        <v>794</v>
      </c>
      <c r="B50" s="236" t="s">
        <v>852</v>
      </c>
      <c r="C50" s="234" t="s">
        <v>850</v>
      </c>
      <c r="D50" s="281">
        <v>0</v>
      </c>
      <c r="E50" s="281">
        <v>2</v>
      </c>
      <c r="F50" s="542">
        <v>0</v>
      </c>
      <c r="G50" s="282"/>
      <c r="H50" s="282"/>
      <c r="I50" s="282"/>
      <c r="J50" s="282"/>
      <c r="K50" s="282"/>
      <c r="L50" s="282"/>
      <c r="M50" s="282"/>
      <c r="N50" s="282"/>
      <c r="O50" s="282"/>
      <c r="P50" s="282"/>
      <c r="Q50" s="749"/>
      <c r="R50" s="279">
        <f t="shared" si="1"/>
        <v>0</v>
      </c>
    </row>
    <row r="51" spans="1:18" s="212" customFormat="1" ht="38.25">
      <c r="A51" s="232" t="s">
        <v>796</v>
      </c>
      <c r="B51" s="236" t="s">
        <v>853</v>
      </c>
      <c r="C51" s="234" t="s">
        <v>854</v>
      </c>
      <c r="D51" s="844">
        <v>3</v>
      </c>
      <c r="E51" s="845">
        <v>3</v>
      </c>
      <c r="F51" s="845">
        <v>3</v>
      </c>
      <c r="G51" s="466"/>
      <c r="H51" s="466"/>
      <c r="I51" s="466"/>
      <c r="J51" s="466"/>
      <c r="K51" s="466"/>
      <c r="L51" s="466"/>
      <c r="M51" s="466"/>
      <c r="N51" s="466"/>
      <c r="O51" s="466"/>
      <c r="P51" s="466"/>
      <c r="Q51" s="749">
        <f t="shared" si="0"/>
        <v>100</v>
      </c>
      <c r="R51" s="279">
        <f t="shared" si="1"/>
        <v>100</v>
      </c>
    </row>
    <row r="52" spans="1:18" s="212" customFormat="1" ht="25.5">
      <c r="A52" s="232" t="s">
        <v>800</v>
      </c>
      <c r="B52" s="236" t="s">
        <v>855</v>
      </c>
      <c r="C52" s="234" t="s">
        <v>19</v>
      </c>
      <c r="D52" s="846">
        <v>94.7</v>
      </c>
      <c r="E52" s="846">
        <v>94.7</v>
      </c>
      <c r="F52" s="846">
        <v>94.7</v>
      </c>
      <c r="G52" s="466"/>
      <c r="H52" s="466"/>
      <c r="I52" s="466"/>
      <c r="J52" s="466"/>
      <c r="K52" s="466"/>
      <c r="L52" s="466"/>
      <c r="M52" s="466"/>
      <c r="N52" s="466"/>
      <c r="O52" s="466"/>
      <c r="P52" s="466"/>
      <c r="Q52" s="749">
        <f t="shared" si="0"/>
        <v>100</v>
      </c>
      <c r="R52" s="279">
        <f t="shared" si="1"/>
        <v>100</v>
      </c>
    </row>
    <row r="53" spans="1:18" s="212" customFormat="1" ht="38.25">
      <c r="A53" s="232" t="s">
        <v>803</v>
      </c>
      <c r="B53" s="236" t="s">
        <v>856</v>
      </c>
      <c r="C53" s="234" t="s">
        <v>19</v>
      </c>
      <c r="D53" s="847">
        <v>57.8</v>
      </c>
      <c r="E53" s="848">
        <v>57.8</v>
      </c>
      <c r="F53" s="848">
        <v>57.8</v>
      </c>
      <c r="G53" s="280"/>
      <c r="H53" s="280"/>
      <c r="I53" s="280"/>
      <c r="J53" s="281"/>
      <c r="K53" s="281"/>
      <c r="L53" s="281"/>
      <c r="M53" s="281"/>
      <c r="N53" s="281"/>
      <c r="O53" s="281"/>
      <c r="P53" s="281"/>
      <c r="Q53" s="749">
        <f t="shared" si="0"/>
        <v>100</v>
      </c>
      <c r="R53" s="279">
        <f t="shared" si="1"/>
        <v>100</v>
      </c>
    </row>
    <row r="54" spans="1:18" s="212" customFormat="1" ht="25.5">
      <c r="A54" s="232" t="s">
        <v>807</v>
      </c>
      <c r="B54" s="233" t="s">
        <v>1338</v>
      </c>
      <c r="C54" s="234" t="s">
        <v>857</v>
      </c>
      <c r="D54" s="849">
        <v>380438</v>
      </c>
      <c r="E54" s="849">
        <v>474692</v>
      </c>
      <c r="F54" s="849">
        <v>381320</v>
      </c>
      <c r="G54" s="767"/>
      <c r="H54" s="767"/>
      <c r="I54" s="767"/>
      <c r="J54" s="781"/>
      <c r="K54" s="781"/>
      <c r="L54" s="781"/>
      <c r="M54" s="781"/>
      <c r="N54" s="781"/>
      <c r="O54" s="781"/>
      <c r="P54" s="781"/>
      <c r="Q54" s="749">
        <f t="shared" si="0"/>
        <v>124.7751276160636</v>
      </c>
      <c r="R54" s="279">
        <f t="shared" si="1"/>
        <v>80.32998238858039</v>
      </c>
    </row>
    <row r="55" spans="1:18" s="390" customFormat="1" ht="12.75">
      <c r="A55" s="770"/>
      <c r="B55" s="771" t="s">
        <v>858</v>
      </c>
      <c r="C55" s="772" t="s">
        <v>805</v>
      </c>
      <c r="D55" s="849">
        <v>19030</v>
      </c>
      <c r="E55" s="849">
        <v>19950</v>
      </c>
      <c r="F55" s="849">
        <v>19050</v>
      </c>
      <c r="G55" s="282"/>
      <c r="H55" s="282"/>
      <c r="I55" s="281"/>
      <c r="J55" s="281"/>
      <c r="K55" s="281"/>
      <c r="L55" s="281"/>
      <c r="M55" s="281"/>
      <c r="N55" s="281"/>
      <c r="O55" s="281"/>
      <c r="P55" s="281"/>
      <c r="Q55" s="749">
        <f t="shared" si="0"/>
        <v>104.83447188649502</v>
      </c>
      <c r="R55" s="279">
        <f t="shared" si="1"/>
        <v>95.48872180451127</v>
      </c>
    </row>
    <row r="56" spans="1:18" s="212" customFormat="1" ht="25.5">
      <c r="A56" s="232" t="s">
        <v>809</v>
      </c>
      <c r="B56" s="467" t="s">
        <v>859</v>
      </c>
      <c r="C56" s="234" t="s">
        <v>860</v>
      </c>
      <c r="D56" s="850">
        <v>9310</v>
      </c>
      <c r="E56" s="850">
        <v>9460</v>
      </c>
      <c r="F56" s="850">
        <v>9660</v>
      </c>
      <c r="G56" s="280"/>
      <c r="H56" s="281"/>
      <c r="I56" s="281"/>
      <c r="J56" s="281"/>
      <c r="K56" s="281"/>
      <c r="L56" s="281"/>
      <c r="M56" s="281"/>
      <c r="N56" s="281"/>
      <c r="O56" s="281"/>
      <c r="P56" s="281"/>
      <c r="Q56" s="749">
        <f t="shared" si="0"/>
        <v>101.61117078410311</v>
      </c>
      <c r="R56" s="279">
        <f t="shared" si="1"/>
        <v>102.11416490486258</v>
      </c>
    </row>
    <row r="57" spans="1:18" s="212" customFormat="1" ht="25.5">
      <c r="A57" s="232" t="s">
        <v>812</v>
      </c>
      <c r="B57" s="233" t="s">
        <v>861</v>
      </c>
      <c r="C57" s="234" t="s">
        <v>860</v>
      </c>
      <c r="D57" s="851">
        <v>307</v>
      </c>
      <c r="E57" s="851">
        <v>155</v>
      </c>
      <c r="F57" s="851">
        <v>200</v>
      </c>
      <c r="G57" s="281"/>
      <c r="H57" s="281"/>
      <c r="I57" s="281"/>
      <c r="J57" s="281"/>
      <c r="K57" s="281"/>
      <c r="L57" s="281"/>
      <c r="M57" s="281"/>
      <c r="N57" s="281"/>
      <c r="O57" s="281"/>
      <c r="P57" s="281"/>
      <c r="Q57" s="749">
        <f t="shared" si="0"/>
        <v>50.4885993485342</v>
      </c>
      <c r="R57" s="279">
        <f t="shared" si="1"/>
        <v>129.03225806451613</v>
      </c>
    </row>
    <row r="58" spans="1:18" s="212" customFormat="1" ht="25.5">
      <c r="A58" s="232" t="s">
        <v>815</v>
      </c>
      <c r="B58" s="233" t="s">
        <v>862</v>
      </c>
      <c r="C58" s="234" t="s">
        <v>863</v>
      </c>
      <c r="D58" s="852">
        <v>22</v>
      </c>
      <c r="E58" s="852">
        <v>25</v>
      </c>
      <c r="F58" s="852">
        <v>27</v>
      </c>
      <c r="G58" s="761"/>
      <c r="H58" s="761"/>
      <c r="I58" s="761"/>
      <c r="J58" s="761"/>
      <c r="K58" s="761"/>
      <c r="L58" s="761"/>
      <c r="M58" s="761"/>
      <c r="N58" s="761"/>
      <c r="O58" s="761"/>
      <c r="P58" s="761"/>
      <c r="Q58" s="749">
        <f t="shared" si="0"/>
        <v>113.63636363636364</v>
      </c>
      <c r="R58" s="279">
        <f t="shared" si="1"/>
        <v>108</v>
      </c>
    </row>
    <row r="59" spans="1:18" s="390" customFormat="1" ht="25.5">
      <c r="A59" s="770"/>
      <c r="B59" s="771" t="s">
        <v>864</v>
      </c>
      <c r="C59" s="772" t="s">
        <v>863</v>
      </c>
      <c r="D59" s="761">
        <v>3</v>
      </c>
      <c r="E59" s="761">
        <v>3</v>
      </c>
      <c r="F59" s="762">
        <v>2</v>
      </c>
      <c r="G59" s="285"/>
      <c r="H59" s="285"/>
      <c r="I59" s="285"/>
      <c r="J59" s="285"/>
      <c r="K59" s="285"/>
      <c r="L59" s="285"/>
      <c r="M59" s="285"/>
      <c r="N59" s="285"/>
      <c r="O59" s="285"/>
      <c r="P59" s="285"/>
      <c r="Q59" s="749">
        <f t="shared" si="0"/>
        <v>100</v>
      </c>
      <c r="R59" s="279">
        <f t="shared" si="1"/>
        <v>66.66666666666666</v>
      </c>
    </row>
    <row r="60" spans="1:18" s="212" customFormat="1" ht="12.75">
      <c r="A60" s="463" t="s">
        <v>88</v>
      </c>
      <c r="B60" s="464" t="s">
        <v>865</v>
      </c>
      <c r="C60" s="234"/>
      <c r="D60" s="466"/>
      <c r="E60" s="285"/>
      <c r="F60" s="545"/>
      <c r="G60" s="285"/>
      <c r="H60" s="285"/>
      <c r="I60" s="285"/>
      <c r="J60" s="285"/>
      <c r="K60" s="285"/>
      <c r="L60" s="285"/>
      <c r="M60" s="285"/>
      <c r="N60" s="285"/>
      <c r="O60" s="285"/>
      <c r="P60" s="285"/>
      <c r="Q60" s="749"/>
      <c r="R60" s="279"/>
    </row>
    <row r="61" spans="1:18" s="212" customFormat="1" ht="12.75">
      <c r="A61" s="463" t="s">
        <v>104</v>
      </c>
      <c r="B61" s="464" t="s">
        <v>866</v>
      </c>
      <c r="C61" s="234"/>
      <c r="D61" s="282"/>
      <c r="E61" s="285"/>
      <c r="F61" s="542"/>
      <c r="G61" s="280"/>
      <c r="H61" s="280"/>
      <c r="I61" s="280"/>
      <c r="J61" s="280"/>
      <c r="K61" s="280"/>
      <c r="L61" s="280"/>
      <c r="M61" s="280"/>
      <c r="N61" s="280"/>
      <c r="O61" s="280"/>
      <c r="P61" s="280"/>
      <c r="Q61" s="749"/>
      <c r="R61" s="279"/>
    </row>
    <row r="62" spans="1:18" s="212" customFormat="1" ht="25.5">
      <c r="A62" s="232" t="s">
        <v>788</v>
      </c>
      <c r="B62" s="233" t="s">
        <v>867</v>
      </c>
      <c r="C62" s="234" t="s">
        <v>185</v>
      </c>
      <c r="D62" s="853">
        <v>157520</v>
      </c>
      <c r="E62" s="853">
        <v>169066</v>
      </c>
      <c r="F62" s="853">
        <v>180497</v>
      </c>
      <c r="G62" s="280">
        <v>25564</v>
      </c>
      <c r="H62" s="280">
        <v>38117</v>
      </c>
      <c r="I62" s="280">
        <v>19540</v>
      </c>
      <c r="J62" s="280">
        <v>27265</v>
      </c>
      <c r="K62" s="280">
        <v>14460</v>
      </c>
      <c r="L62" s="280">
        <v>16136</v>
      </c>
      <c r="M62" s="280">
        <v>3840</v>
      </c>
      <c r="N62" s="280">
        <v>13714</v>
      </c>
      <c r="O62" s="280">
        <v>9768</v>
      </c>
      <c r="P62" s="280">
        <v>12093</v>
      </c>
      <c r="Q62" s="749">
        <f t="shared" si="0"/>
        <v>107.32986287455562</v>
      </c>
      <c r="R62" s="279">
        <f t="shared" si="1"/>
        <v>106.76126483148593</v>
      </c>
    </row>
    <row r="63" spans="1:18" s="390" customFormat="1" ht="38.25">
      <c r="A63" s="770"/>
      <c r="B63" s="771" t="s">
        <v>868</v>
      </c>
      <c r="C63" s="772" t="s">
        <v>19</v>
      </c>
      <c r="D63" s="854">
        <v>27.3</v>
      </c>
      <c r="E63" s="855">
        <v>28.09997024892838</v>
      </c>
      <c r="F63" s="855">
        <v>29.999883655027183</v>
      </c>
      <c r="G63" s="280"/>
      <c r="H63" s="280"/>
      <c r="I63" s="280"/>
      <c r="J63" s="280"/>
      <c r="K63" s="280"/>
      <c r="L63" s="280"/>
      <c r="M63" s="280"/>
      <c r="N63" s="280"/>
      <c r="O63" s="280"/>
      <c r="P63" s="280"/>
      <c r="Q63" s="749">
        <f t="shared" si="0"/>
        <v>102.93029395211862</v>
      </c>
      <c r="R63" s="279">
        <f t="shared" si="1"/>
        <v>106.76126483148593</v>
      </c>
    </row>
    <row r="64" spans="1:18" s="212" customFormat="1" ht="12.75">
      <c r="A64" s="232" t="s">
        <v>791</v>
      </c>
      <c r="B64" s="233" t="s">
        <v>869</v>
      </c>
      <c r="C64" s="234" t="s">
        <v>870</v>
      </c>
      <c r="D64" s="853">
        <v>20256</v>
      </c>
      <c r="E64" s="853">
        <v>21280</v>
      </c>
      <c r="F64" s="853">
        <v>23557</v>
      </c>
      <c r="G64" s="280">
        <v>4016</v>
      </c>
      <c r="H64" s="280">
        <v>5380</v>
      </c>
      <c r="I64" s="280">
        <v>2252</v>
      </c>
      <c r="J64" s="280">
        <v>3295</v>
      </c>
      <c r="K64" s="280">
        <v>1894</v>
      </c>
      <c r="L64" s="280">
        <v>1936</v>
      </c>
      <c r="M64" s="280">
        <v>612</v>
      </c>
      <c r="N64" s="280">
        <v>1478</v>
      </c>
      <c r="O64" s="280">
        <v>1142</v>
      </c>
      <c r="P64" s="280">
        <v>1552</v>
      </c>
      <c r="Q64" s="749">
        <f t="shared" si="0"/>
        <v>105.05529225908373</v>
      </c>
      <c r="R64" s="279">
        <f t="shared" si="1"/>
        <v>110.7001879699248</v>
      </c>
    </row>
    <row r="65" spans="1:18" s="390" customFormat="1" ht="25.5">
      <c r="A65" s="770"/>
      <c r="B65" s="771" t="s">
        <v>871</v>
      </c>
      <c r="C65" s="772" t="s">
        <v>19</v>
      </c>
      <c r="D65" s="854">
        <v>16.8</v>
      </c>
      <c r="E65" s="855">
        <v>17.4</v>
      </c>
      <c r="F65" s="855">
        <v>19</v>
      </c>
      <c r="G65" s="280"/>
      <c r="H65" s="280"/>
      <c r="I65" s="280"/>
      <c r="J65" s="280"/>
      <c r="K65" s="280"/>
      <c r="L65" s="280"/>
      <c r="M65" s="280"/>
      <c r="N65" s="280"/>
      <c r="O65" s="280"/>
      <c r="P65" s="280"/>
      <c r="Q65" s="749">
        <f t="shared" si="0"/>
        <v>103.57142857142856</v>
      </c>
      <c r="R65" s="279">
        <f t="shared" si="1"/>
        <v>109.19540229885058</v>
      </c>
    </row>
    <row r="66" spans="1:18" s="212" customFormat="1" ht="12.75">
      <c r="A66" s="232" t="s">
        <v>794</v>
      </c>
      <c r="B66" s="233" t="s">
        <v>872</v>
      </c>
      <c r="C66" s="234" t="s">
        <v>823</v>
      </c>
      <c r="D66" s="280">
        <v>380</v>
      </c>
      <c r="E66" s="280">
        <v>390</v>
      </c>
      <c r="F66" s="542">
        <v>400</v>
      </c>
      <c r="G66" s="280">
        <v>71</v>
      </c>
      <c r="H66" s="280">
        <v>54</v>
      </c>
      <c r="I66" s="280">
        <v>52</v>
      </c>
      <c r="J66" s="280">
        <v>60</v>
      </c>
      <c r="K66" s="280">
        <v>49</v>
      </c>
      <c r="L66" s="280">
        <v>31</v>
      </c>
      <c r="M66" s="280">
        <v>23</v>
      </c>
      <c r="N66" s="280">
        <v>20</v>
      </c>
      <c r="O66" s="280">
        <v>20</v>
      </c>
      <c r="P66" s="280">
        <v>20</v>
      </c>
      <c r="Q66" s="749">
        <f t="shared" si="0"/>
        <v>102.63157894736842</v>
      </c>
      <c r="R66" s="279">
        <f t="shared" si="1"/>
        <v>102.56410256410255</v>
      </c>
    </row>
    <row r="67" spans="1:18" s="212" customFormat="1" ht="12.75">
      <c r="A67" s="463" t="s">
        <v>114</v>
      </c>
      <c r="B67" s="464" t="s">
        <v>873</v>
      </c>
      <c r="C67" s="234"/>
      <c r="D67" s="466"/>
      <c r="E67" s="285"/>
      <c r="F67" s="545"/>
      <c r="G67" s="280"/>
      <c r="H67" s="280"/>
      <c r="I67" s="280"/>
      <c r="J67" s="280"/>
      <c r="K67" s="280"/>
      <c r="L67" s="280"/>
      <c r="M67" s="280"/>
      <c r="N67" s="280"/>
      <c r="O67" s="280"/>
      <c r="P67" s="280"/>
      <c r="Q67" s="749"/>
      <c r="R67" s="279"/>
    </row>
    <row r="68" spans="1:18" s="212" customFormat="1" ht="12.75">
      <c r="A68" s="232" t="s">
        <v>788</v>
      </c>
      <c r="B68" s="233" t="s">
        <v>874</v>
      </c>
      <c r="C68" s="234" t="s">
        <v>875</v>
      </c>
      <c r="D68" s="856">
        <v>2</v>
      </c>
      <c r="E68" s="856">
        <v>0</v>
      </c>
      <c r="F68" s="856">
        <v>0</v>
      </c>
      <c r="G68" s="280"/>
      <c r="H68" s="280"/>
      <c r="I68" s="280"/>
      <c r="J68" s="280"/>
      <c r="K68" s="280"/>
      <c r="L68" s="280"/>
      <c r="M68" s="280"/>
      <c r="N68" s="280"/>
      <c r="O68" s="280"/>
      <c r="P68" s="280"/>
      <c r="Q68" s="749">
        <f t="shared" si="0"/>
        <v>0</v>
      </c>
      <c r="R68" s="279"/>
    </row>
    <row r="69" spans="1:18" s="212" customFormat="1" ht="12.75">
      <c r="A69" s="232" t="s">
        <v>791</v>
      </c>
      <c r="B69" s="233" t="s">
        <v>876</v>
      </c>
      <c r="C69" s="234" t="s">
        <v>875</v>
      </c>
      <c r="D69" s="856">
        <v>4</v>
      </c>
      <c r="E69" s="856">
        <v>2</v>
      </c>
      <c r="F69" s="856">
        <v>2</v>
      </c>
      <c r="G69" s="280"/>
      <c r="H69" s="468"/>
      <c r="I69" s="280"/>
      <c r="J69" s="280"/>
      <c r="K69" s="280"/>
      <c r="L69" s="280"/>
      <c r="M69" s="280"/>
      <c r="N69" s="280"/>
      <c r="O69" s="280"/>
      <c r="P69" s="280"/>
      <c r="Q69" s="749">
        <f t="shared" si="0"/>
        <v>50</v>
      </c>
      <c r="R69" s="279">
        <f t="shared" si="1"/>
        <v>100</v>
      </c>
    </row>
    <row r="70" spans="1:18" s="212" customFormat="1" ht="25.5">
      <c r="A70" s="232" t="s">
        <v>794</v>
      </c>
      <c r="B70" s="233" t="s">
        <v>877</v>
      </c>
      <c r="C70" s="234" t="s">
        <v>878</v>
      </c>
      <c r="D70" s="857">
        <v>31</v>
      </c>
      <c r="E70" s="857">
        <v>97</v>
      </c>
      <c r="F70" s="857">
        <v>25</v>
      </c>
      <c r="G70" s="280"/>
      <c r="H70" s="280"/>
      <c r="I70" s="280"/>
      <c r="J70" s="280"/>
      <c r="K70" s="280"/>
      <c r="L70" s="280"/>
      <c r="M70" s="280"/>
      <c r="N70" s="280"/>
      <c r="O70" s="280"/>
      <c r="P70" s="280"/>
      <c r="Q70" s="749">
        <f t="shared" si="0"/>
        <v>312.9032258064516</v>
      </c>
      <c r="R70" s="279">
        <f t="shared" si="1"/>
        <v>25.773195876288657</v>
      </c>
    </row>
    <row r="71" spans="1:18" s="212" customFormat="1" ht="12.75">
      <c r="A71" s="232" t="s">
        <v>796</v>
      </c>
      <c r="B71" s="233" t="s">
        <v>1051</v>
      </c>
      <c r="C71" s="234" t="s">
        <v>879</v>
      </c>
      <c r="D71" s="858">
        <v>11</v>
      </c>
      <c r="E71" s="858">
        <v>11</v>
      </c>
      <c r="F71" s="858">
        <v>11</v>
      </c>
      <c r="G71" s="767"/>
      <c r="H71" s="767"/>
      <c r="I71" s="767"/>
      <c r="J71" s="767"/>
      <c r="K71" s="767"/>
      <c r="L71" s="767"/>
      <c r="M71" s="767"/>
      <c r="N71" s="767"/>
      <c r="O71" s="767"/>
      <c r="P71" s="767"/>
      <c r="Q71" s="749">
        <f t="shared" si="0"/>
        <v>100</v>
      </c>
      <c r="R71" s="279">
        <f t="shared" si="1"/>
        <v>100</v>
      </c>
    </row>
    <row r="72" spans="1:18" s="390" customFormat="1" ht="12.75">
      <c r="A72" s="770"/>
      <c r="B72" s="771" t="s">
        <v>1052</v>
      </c>
      <c r="C72" s="772" t="s">
        <v>1053</v>
      </c>
      <c r="D72" s="767">
        <v>1</v>
      </c>
      <c r="E72" s="767">
        <v>2</v>
      </c>
      <c r="F72" s="542">
        <v>0</v>
      </c>
      <c r="G72" s="280"/>
      <c r="H72" s="280"/>
      <c r="I72" s="280"/>
      <c r="J72" s="280"/>
      <c r="K72" s="280"/>
      <c r="L72" s="280"/>
      <c r="M72" s="280"/>
      <c r="N72" s="280"/>
      <c r="O72" s="280"/>
      <c r="P72" s="280"/>
      <c r="Q72" s="749">
        <f t="shared" si="0"/>
        <v>200</v>
      </c>
      <c r="R72" s="279">
        <f t="shared" si="1"/>
        <v>0</v>
      </c>
    </row>
    <row r="73" spans="1:18" s="212" customFormat="1" ht="12.75">
      <c r="A73" s="232" t="s">
        <v>800</v>
      </c>
      <c r="B73" s="233" t="s">
        <v>880</v>
      </c>
      <c r="C73" s="234" t="s">
        <v>875</v>
      </c>
      <c r="D73" s="280"/>
      <c r="E73" s="280"/>
      <c r="F73" s="542"/>
      <c r="G73" s="767"/>
      <c r="H73" s="767"/>
      <c r="I73" s="767"/>
      <c r="J73" s="767"/>
      <c r="K73" s="767"/>
      <c r="L73" s="767"/>
      <c r="M73" s="767"/>
      <c r="N73" s="767"/>
      <c r="O73" s="767"/>
      <c r="P73" s="767"/>
      <c r="Q73" s="749"/>
      <c r="R73" s="279"/>
    </row>
    <row r="74" spans="1:18" s="390" customFormat="1" ht="12.75">
      <c r="A74" s="770"/>
      <c r="B74" s="771" t="s">
        <v>881</v>
      </c>
      <c r="C74" s="772" t="s">
        <v>875</v>
      </c>
      <c r="D74" s="859">
        <v>22</v>
      </c>
      <c r="E74" s="859">
        <v>0</v>
      </c>
      <c r="F74" s="859">
        <v>0</v>
      </c>
      <c r="G74" s="767"/>
      <c r="H74" s="767"/>
      <c r="I74" s="767"/>
      <c r="J74" s="767"/>
      <c r="K74" s="767"/>
      <c r="L74" s="767"/>
      <c r="M74" s="767"/>
      <c r="N74" s="767"/>
      <c r="O74" s="767"/>
      <c r="P74" s="767"/>
      <c r="Q74" s="749">
        <f aca="true" t="shared" si="2" ref="Q74:Q83">E74/D74*100</f>
        <v>0</v>
      </c>
      <c r="R74" s="279"/>
    </row>
    <row r="75" spans="1:18" s="390" customFormat="1" ht="12.75">
      <c r="A75" s="770"/>
      <c r="B75" s="771" t="s">
        <v>882</v>
      </c>
      <c r="C75" s="772" t="s">
        <v>875</v>
      </c>
      <c r="D75" s="761">
        <v>143</v>
      </c>
      <c r="E75" s="761">
        <v>0</v>
      </c>
      <c r="F75" s="860">
        <v>35</v>
      </c>
      <c r="G75" s="285"/>
      <c r="H75" s="285"/>
      <c r="I75" s="285"/>
      <c r="J75" s="285"/>
      <c r="K75" s="285"/>
      <c r="L75" s="285"/>
      <c r="M75" s="285"/>
      <c r="N75" s="285"/>
      <c r="O75" s="285"/>
      <c r="P75" s="285"/>
      <c r="Q75" s="749">
        <f t="shared" si="2"/>
        <v>0</v>
      </c>
      <c r="R75" s="279"/>
    </row>
    <row r="76" spans="1:18" s="212" customFormat="1" ht="12.75">
      <c r="A76" s="463" t="s">
        <v>98</v>
      </c>
      <c r="B76" s="469" t="s">
        <v>883</v>
      </c>
      <c r="C76" s="234"/>
      <c r="D76" s="466"/>
      <c r="E76" s="285"/>
      <c r="F76" s="545"/>
      <c r="G76" s="282"/>
      <c r="H76" s="282"/>
      <c r="I76" s="282"/>
      <c r="J76" s="282"/>
      <c r="K76" s="282"/>
      <c r="L76" s="282"/>
      <c r="M76" s="282"/>
      <c r="N76" s="282"/>
      <c r="O76" s="282"/>
      <c r="P76" s="282"/>
      <c r="Q76" s="749"/>
      <c r="R76" s="279"/>
    </row>
    <row r="77" spans="1:18" s="212" customFormat="1" ht="38.25">
      <c r="A77" s="232" t="s">
        <v>788</v>
      </c>
      <c r="B77" s="233" t="s">
        <v>884</v>
      </c>
      <c r="C77" s="234" t="s">
        <v>885</v>
      </c>
      <c r="D77" s="861">
        <v>705</v>
      </c>
      <c r="E77" s="862">
        <v>845</v>
      </c>
      <c r="F77" s="862">
        <v>910</v>
      </c>
      <c r="G77" s="782"/>
      <c r="H77" s="782"/>
      <c r="I77" s="782"/>
      <c r="J77" s="782"/>
      <c r="K77" s="782"/>
      <c r="L77" s="782"/>
      <c r="M77" s="782"/>
      <c r="N77" s="782"/>
      <c r="O77" s="782"/>
      <c r="P77" s="782"/>
      <c r="Q77" s="749">
        <f t="shared" si="2"/>
        <v>119.8581560283688</v>
      </c>
      <c r="R77" s="279">
        <f aca="true" t="shared" si="3" ref="R77:R83">F77/E77*100</f>
        <v>107.6923076923077</v>
      </c>
    </row>
    <row r="78" spans="1:18" s="390" customFormat="1" ht="12.75">
      <c r="A78" s="783"/>
      <c r="B78" s="784" t="s">
        <v>886</v>
      </c>
      <c r="C78" s="785" t="s">
        <v>805</v>
      </c>
      <c r="D78" s="861">
        <v>151</v>
      </c>
      <c r="E78" s="862">
        <v>183</v>
      </c>
      <c r="F78" s="862">
        <v>200</v>
      </c>
      <c r="G78" s="282"/>
      <c r="H78" s="282"/>
      <c r="I78" s="282"/>
      <c r="J78" s="282"/>
      <c r="K78" s="282"/>
      <c r="L78" s="282"/>
      <c r="M78" s="282"/>
      <c r="N78" s="282"/>
      <c r="O78" s="282"/>
      <c r="P78" s="282"/>
      <c r="Q78" s="749">
        <f t="shared" si="2"/>
        <v>121.19205298013244</v>
      </c>
      <c r="R78" s="279">
        <f t="shared" si="3"/>
        <v>109.28961748633881</v>
      </c>
    </row>
    <row r="79" spans="1:18" s="212" customFormat="1" ht="12.75">
      <c r="A79" s="232" t="s">
        <v>791</v>
      </c>
      <c r="B79" s="233" t="s">
        <v>887</v>
      </c>
      <c r="C79" s="234" t="s">
        <v>9</v>
      </c>
      <c r="D79" s="863">
        <v>1155</v>
      </c>
      <c r="E79" s="863">
        <v>1366</v>
      </c>
      <c r="F79" s="863">
        <v>1500</v>
      </c>
      <c r="G79" s="282"/>
      <c r="H79" s="282"/>
      <c r="I79" s="282"/>
      <c r="J79" s="282"/>
      <c r="K79" s="282"/>
      <c r="L79" s="282"/>
      <c r="M79" s="282"/>
      <c r="N79" s="282"/>
      <c r="O79" s="282"/>
      <c r="P79" s="282"/>
      <c r="Q79" s="749">
        <f t="shared" si="2"/>
        <v>118.26839826839827</v>
      </c>
      <c r="R79" s="279">
        <f t="shared" si="3"/>
        <v>109.80966325036603</v>
      </c>
    </row>
    <row r="80" spans="1:18" s="212" customFormat="1" ht="25.5">
      <c r="A80" s="232" t="s">
        <v>794</v>
      </c>
      <c r="B80" s="233" t="s">
        <v>888</v>
      </c>
      <c r="C80" s="234" t="s">
        <v>889</v>
      </c>
      <c r="D80" s="864">
        <v>2.4</v>
      </c>
      <c r="E80" s="864">
        <v>2.5</v>
      </c>
      <c r="F80" s="864">
        <v>2.5</v>
      </c>
      <c r="G80" s="282"/>
      <c r="H80" s="282"/>
      <c r="I80" s="282"/>
      <c r="J80" s="282"/>
      <c r="K80" s="282"/>
      <c r="L80" s="282"/>
      <c r="M80" s="282"/>
      <c r="N80" s="282"/>
      <c r="O80" s="282"/>
      <c r="P80" s="282"/>
      <c r="Q80" s="749">
        <f t="shared" si="2"/>
        <v>104.16666666666667</v>
      </c>
      <c r="R80" s="279">
        <f t="shared" si="3"/>
        <v>100</v>
      </c>
    </row>
    <row r="81" spans="1:18" s="212" customFormat="1" ht="25.5">
      <c r="A81" s="232" t="s">
        <v>796</v>
      </c>
      <c r="B81" s="233" t="s">
        <v>890</v>
      </c>
      <c r="C81" s="234" t="s">
        <v>889</v>
      </c>
      <c r="D81" s="864">
        <v>2.4</v>
      </c>
      <c r="E81" s="864">
        <v>2.5</v>
      </c>
      <c r="F81" s="864">
        <v>2.5</v>
      </c>
      <c r="G81" s="282"/>
      <c r="H81" s="282"/>
      <c r="I81" s="282"/>
      <c r="J81" s="282"/>
      <c r="K81" s="282"/>
      <c r="L81" s="282"/>
      <c r="M81" s="282"/>
      <c r="N81" s="282"/>
      <c r="O81" s="282"/>
      <c r="P81" s="282"/>
      <c r="Q81" s="749">
        <f t="shared" si="2"/>
        <v>104.16666666666667</v>
      </c>
      <c r="R81" s="279">
        <f t="shared" si="3"/>
        <v>100</v>
      </c>
    </row>
    <row r="82" spans="1:18" s="212" customFormat="1" ht="25.5">
      <c r="A82" s="232" t="s">
        <v>800</v>
      </c>
      <c r="B82" s="233" t="s">
        <v>891</v>
      </c>
      <c r="C82" s="234" t="s">
        <v>515</v>
      </c>
      <c r="D82" s="865">
        <v>11</v>
      </c>
      <c r="E82" s="865">
        <v>11</v>
      </c>
      <c r="F82" s="865">
        <v>11</v>
      </c>
      <c r="G82" s="282"/>
      <c r="H82" s="282"/>
      <c r="I82" s="282"/>
      <c r="J82" s="282"/>
      <c r="K82" s="282"/>
      <c r="L82" s="282"/>
      <c r="M82" s="282"/>
      <c r="N82" s="282"/>
      <c r="O82" s="282"/>
      <c r="P82" s="282"/>
      <c r="Q82" s="749">
        <f t="shared" si="2"/>
        <v>100</v>
      </c>
      <c r="R82" s="279">
        <f t="shared" si="3"/>
        <v>100</v>
      </c>
    </row>
    <row r="83" spans="1:18" s="390" customFormat="1" ht="25.5">
      <c r="A83" s="786"/>
      <c r="B83" s="787" t="s">
        <v>892</v>
      </c>
      <c r="C83" s="788" t="s">
        <v>515</v>
      </c>
      <c r="D83" s="789">
        <v>11</v>
      </c>
      <c r="E83" s="789">
        <v>11</v>
      </c>
      <c r="F83" s="789">
        <v>11</v>
      </c>
      <c r="G83" s="789"/>
      <c r="H83" s="789"/>
      <c r="I83" s="789"/>
      <c r="J83" s="789"/>
      <c r="K83" s="789"/>
      <c r="L83" s="789"/>
      <c r="M83" s="789"/>
      <c r="N83" s="789"/>
      <c r="O83" s="789"/>
      <c r="P83" s="789"/>
      <c r="Q83" s="749">
        <f t="shared" si="2"/>
        <v>100</v>
      </c>
      <c r="R83" s="279">
        <f t="shared" si="3"/>
        <v>100</v>
      </c>
    </row>
    <row r="84" spans="1:18" s="791" customFormat="1" ht="14.25" customHeight="1">
      <c r="A84" s="790"/>
      <c r="D84" s="806"/>
      <c r="E84" s="806"/>
      <c r="F84" s="807"/>
      <c r="G84" s="806"/>
      <c r="H84" s="806"/>
      <c r="I84" s="806"/>
      <c r="J84" s="806"/>
      <c r="K84" s="806"/>
      <c r="L84" s="806"/>
      <c r="M84" s="806"/>
      <c r="N84" s="806"/>
      <c r="O84" s="806"/>
      <c r="P84" s="806"/>
      <c r="Q84" s="806"/>
      <c r="R84" s="806"/>
    </row>
    <row r="85" spans="1:18" s="791" customFormat="1" ht="14.25" customHeight="1">
      <c r="A85" s="790"/>
      <c r="D85" s="806"/>
      <c r="E85" s="806"/>
      <c r="F85" s="807"/>
      <c r="G85" s="806"/>
      <c r="H85" s="806"/>
      <c r="I85" s="806"/>
      <c r="J85" s="806"/>
      <c r="K85" s="806"/>
      <c r="L85" s="806"/>
      <c r="M85" s="806"/>
      <c r="N85" s="806"/>
      <c r="O85" s="806"/>
      <c r="P85" s="806"/>
      <c r="Q85" s="806"/>
      <c r="R85" s="806"/>
    </row>
    <row r="86" spans="1:18" s="791" customFormat="1" ht="14.25" customHeight="1">
      <c r="A86" s="790"/>
      <c r="D86" s="806"/>
      <c r="E86" s="806"/>
      <c r="F86" s="807"/>
      <c r="G86" s="806"/>
      <c r="H86" s="806"/>
      <c r="I86" s="806"/>
      <c r="J86" s="806"/>
      <c r="K86" s="806"/>
      <c r="L86" s="806"/>
      <c r="M86" s="806"/>
      <c r="N86" s="806"/>
      <c r="O86" s="806"/>
      <c r="P86" s="806"/>
      <c r="Q86" s="806"/>
      <c r="R86" s="806"/>
    </row>
    <row r="87" spans="1:18" s="791" customFormat="1" ht="14.25" customHeight="1">
      <c r="A87" s="790"/>
      <c r="D87" s="806"/>
      <c r="E87" s="806"/>
      <c r="F87" s="807"/>
      <c r="G87" s="806"/>
      <c r="H87" s="806"/>
      <c r="I87" s="806"/>
      <c r="J87" s="806"/>
      <c r="K87" s="806"/>
      <c r="L87" s="806"/>
      <c r="M87" s="806"/>
      <c r="N87" s="806"/>
      <c r="O87" s="806"/>
      <c r="P87" s="806"/>
      <c r="Q87" s="806"/>
      <c r="R87" s="806"/>
    </row>
    <row r="88" spans="1:18" s="791" customFormat="1" ht="14.25" customHeight="1">
      <c r="A88" s="790"/>
      <c r="D88" s="806"/>
      <c r="E88" s="806"/>
      <c r="F88" s="808"/>
      <c r="G88" s="806"/>
      <c r="H88" s="806"/>
      <c r="I88" s="806"/>
      <c r="J88" s="806"/>
      <c r="K88" s="806"/>
      <c r="L88" s="806"/>
      <c r="M88" s="806"/>
      <c r="N88" s="806"/>
      <c r="O88" s="806"/>
      <c r="P88" s="806"/>
      <c r="Q88" s="806"/>
      <c r="R88" s="806"/>
    </row>
    <row r="89" spans="1:18" s="791" customFormat="1" ht="14.25" customHeight="1">
      <c r="A89" s="790"/>
      <c r="D89" s="806"/>
      <c r="E89" s="806"/>
      <c r="F89" s="807"/>
      <c r="G89" s="806"/>
      <c r="H89" s="806"/>
      <c r="I89" s="806"/>
      <c r="J89" s="806"/>
      <c r="K89" s="806"/>
      <c r="L89" s="806"/>
      <c r="M89" s="806"/>
      <c r="N89" s="806"/>
      <c r="O89" s="806"/>
      <c r="P89" s="806"/>
      <c r="Q89" s="806"/>
      <c r="R89" s="806"/>
    </row>
    <row r="90" spans="1:6" s="791" customFormat="1" ht="14.25" customHeight="1">
      <c r="A90" s="790"/>
      <c r="F90" s="792"/>
    </row>
    <row r="91" spans="1:6" s="791" customFormat="1" ht="14.25" customHeight="1">
      <c r="A91" s="790"/>
      <c r="F91" s="792"/>
    </row>
    <row r="92" spans="1:6" s="791" customFormat="1" ht="14.25" customHeight="1">
      <c r="A92" s="790"/>
      <c r="F92" s="792"/>
    </row>
    <row r="93" spans="1:6" s="791" customFormat="1" ht="14.25" customHeight="1">
      <c r="A93" s="790"/>
      <c r="F93" s="792"/>
    </row>
    <row r="94" spans="1:6" s="791" customFormat="1" ht="14.25" customHeight="1">
      <c r="A94" s="790"/>
      <c r="F94" s="792"/>
    </row>
    <row r="95" spans="1:6" s="791" customFormat="1" ht="14.25" customHeight="1">
      <c r="A95" s="790"/>
      <c r="F95" s="792"/>
    </row>
    <row r="96" spans="1:18" ht="14.25" customHeight="1">
      <c r="A96" s="470"/>
      <c r="B96" s="471"/>
      <c r="C96" s="471"/>
      <c r="D96" s="471"/>
      <c r="E96" s="471"/>
      <c r="F96" s="546"/>
      <c r="G96" s="471"/>
      <c r="H96" s="471"/>
      <c r="I96" s="471"/>
      <c r="J96" s="471"/>
      <c r="K96" s="471"/>
      <c r="L96" s="471"/>
      <c r="M96" s="471"/>
      <c r="N96" s="471"/>
      <c r="O96" s="471"/>
      <c r="P96" s="471"/>
      <c r="Q96" s="472"/>
      <c r="R96" s="471"/>
    </row>
  </sheetData>
  <sheetProtection/>
  <mergeCells count="11">
    <mergeCell ref="G5:P5"/>
    <mergeCell ref="Q5:R5"/>
    <mergeCell ref="A1:B1"/>
    <mergeCell ref="A2:R2"/>
    <mergeCell ref="A3:R3"/>
    <mergeCell ref="A5:A6"/>
    <mergeCell ref="B5:B6"/>
    <mergeCell ref="C5:C6"/>
    <mergeCell ref="D5:D6"/>
    <mergeCell ref="E5:E6"/>
    <mergeCell ref="F5:F6"/>
  </mergeCells>
  <printOptions horizontalCentered="1"/>
  <pageMargins left="0.33" right="0.1968503937007874" top="0.45" bottom="0.26" header="0.31496062992125984" footer="0.23"/>
  <pageSetup horizontalDpi="600" verticalDpi="600" orientation="landscape" paperSize="9" r:id="rId2"/>
  <headerFooter>
    <oddFooter>&amp;R&amp;P/&amp;N</oddFooter>
  </headerFooter>
  <drawing r:id="rId1"/>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J14"/>
  <sheetViews>
    <sheetView view="pageBreakPreview" zoomScale="85" zoomScaleNormal="80" zoomScaleSheetLayoutView="85" zoomScalePageLayoutView="0" workbookViewId="0" topLeftCell="A4">
      <selection activeCell="A4" sqref="A4:J4"/>
    </sheetView>
  </sheetViews>
  <sheetFormatPr defaultColWidth="9.00390625" defaultRowHeight="15.75"/>
  <cols>
    <col min="1" max="1" width="3.625" style="122" customWidth="1"/>
    <col min="2" max="2" width="34.00390625" style="122" customWidth="1"/>
    <col min="3" max="3" width="9.625" style="122" customWidth="1"/>
    <col min="4" max="4" width="10.00390625" style="122" customWidth="1"/>
    <col min="5" max="5" width="10.50390625" style="122" customWidth="1"/>
    <col min="6" max="6" width="10.50390625" style="122" hidden="1" customWidth="1"/>
    <col min="7" max="7" width="10.50390625" style="122" customWidth="1"/>
    <col min="8" max="8" width="13.625" style="122" customWidth="1"/>
    <col min="9" max="9" width="12.375" style="122" customWidth="1"/>
    <col min="10" max="10" width="14.25390625" style="122" customWidth="1"/>
    <col min="11" max="11" width="27.625" style="122" customWidth="1"/>
    <col min="12" max="16384" width="9.00390625" style="122" customWidth="1"/>
  </cols>
  <sheetData>
    <row r="1" spans="1:10" ht="19.5">
      <c r="A1" s="104"/>
      <c r="B1" s="4"/>
      <c r="C1" s="4"/>
      <c r="D1" s="4"/>
      <c r="E1" s="4"/>
      <c r="F1" s="4"/>
      <c r="G1" s="4"/>
      <c r="H1" s="4"/>
      <c r="J1" s="1" t="s">
        <v>449</v>
      </c>
    </row>
    <row r="2" spans="1:10" ht="16.5">
      <c r="A2" s="1453" t="s">
        <v>158</v>
      </c>
      <c r="B2" s="1453"/>
      <c r="C2" s="1453"/>
      <c r="D2" s="1453"/>
      <c r="E2" s="1453"/>
      <c r="F2" s="1453"/>
      <c r="G2" s="1453"/>
      <c r="H2" s="1453"/>
      <c r="I2" s="1453"/>
      <c r="J2" s="1453"/>
    </row>
    <row r="3" spans="1:10" ht="16.5">
      <c r="A3" s="1453" t="s">
        <v>159</v>
      </c>
      <c r="B3" s="1453"/>
      <c r="C3" s="1453"/>
      <c r="D3" s="1453"/>
      <c r="E3" s="1453"/>
      <c r="F3" s="1453"/>
      <c r="G3" s="1453"/>
      <c r="H3" s="1453"/>
      <c r="I3" s="1453"/>
      <c r="J3" s="1453"/>
    </row>
    <row r="4" spans="1:10" ht="16.5">
      <c r="A4" s="1452" t="s">
        <v>1400</v>
      </c>
      <c r="B4" s="1452"/>
      <c r="C4" s="1452"/>
      <c r="D4" s="1452"/>
      <c r="E4" s="1452"/>
      <c r="F4" s="1452"/>
      <c r="G4" s="1452"/>
      <c r="H4" s="1452"/>
      <c r="I4" s="1452"/>
      <c r="J4" s="1452"/>
    </row>
    <row r="6" spans="1:10" s="105" customFormat="1" ht="26.25" customHeight="1">
      <c r="A6" s="1450" t="s">
        <v>2</v>
      </c>
      <c r="B6" s="1450" t="s">
        <v>3</v>
      </c>
      <c r="C6" s="1450" t="s">
        <v>4</v>
      </c>
      <c r="D6" s="1450" t="s">
        <v>1304</v>
      </c>
      <c r="E6" s="1370" t="s">
        <v>1279</v>
      </c>
      <c r="F6" s="1371"/>
      <c r="G6" s="1371"/>
      <c r="H6" s="1372"/>
      <c r="I6" s="1450" t="s">
        <v>1282</v>
      </c>
      <c r="J6" s="1450" t="s">
        <v>1283</v>
      </c>
    </row>
    <row r="7" spans="1:10" s="105" customFormat="1" ht="63">
      <c r="A7" s="1451"/>
      <c r="B7" s="1451"/>
      <c r="C7" s="1451"/>
      <c r="D7" s="1451"/>
      <c r="E7" s="142" t="s">
        <v>5</v>
      </c>
      <c r="F7" s="142" t="s">
        <v>6</v>
      </c>
      <c r="G7" s="142" t="s">
        <v>7</v>
      </c>
      <c r="H7" s="142" t="s">
        <v>1280</v>
      </c>
      <c r="I7" s="1451"/>
      <c r="J7" s="1451"/>
    </row>
    <row r="8" spans="1:10" s="154" customFormat="1" ht="20.25" customHeight="1">
      <c r="A8" s="152">
        <v>1</v>
      </c>
      <c r="B8" s="152">
        <v>2</v>
      </c>
      <c r="C8" s="152">
        <v>3</v>
      </c>
      <c r="D8" s="152">
        <v>4</v>
      </c>
      <c r="E8" s="152">
        <v>5</v>
      </c>
      <c r="F8" s="152">
        <v>6</v>
      </c>
      <c r="G8" s="152">
        <v>6</v>
      </c>
      <c r="H8" s="152" t="s">
        <v>981</v>
      </c>
      <c r="I8" s="152">
        <v>8</v>
      </c>
      <c r="J8" s="152" t="s">
        <v>1064</v>
      </c>
    </row>
    <row r="9" spans="1:10" ht="39" customHeight="1">
      <c r="A9" s="329">
        <v>1</v>
      </c>
      <c r="B9" s="112" t="s">
        <v>160</v>
      </c>
      <c r="C9" s="114" t="s">
        <v>19</v>
      </c>
      <c r="D9" s="330">
        <v>78</v>
      </c>
      <c r="E9" s="330">
        <v>82</v>
      </c>
      <c r="F9" s="330"/>
      <c r="G9" s="330">
        <v>82</v>
      </c>
      <c r="H9" s="330">
        <f>G9/D9*100</f>
        <v>105.12820512820514</v>
      </c>
      <c r="I9" s="331">
        <v>85</v>
      </c>
      <c r="J9" s="330">
        <f>I9/G9*100</f>
        <v>103.65853658536585</v>
      </c>
    </row>
    <row r="10" spans="1:10" ht="31.5">
      <c r="A10" s="114">
        <v>2</v>
      </c>
      <c r="B10" s="548" t="s">
        <v>161</v>
      </c>
      <c r="C10" s="114" t="s">
        <v>19</v>
      </c>
      <c r="D10" s="330">
        <v>50</v>
      </c>
      <c r="E10" s="330">
        <v>100</v>
      </c>
      <c r="F10" s="330"/>
      <c r="G10" s="330">
        <v>75</v>
      </c>
      <c r="H10" s="330">
        <f>G10/D10*100</f>
        <v>150</v>
      </c>
      <c r="I10" s="331">
        <v>100</v>
      </c>
      <c r="J10" s="330">
        <f>I10/G10*100</f>
        <v>133.33333333333331</v>
      </c>
    </row>
    <row r="11" spans="1:10" ht="39.75" customHeight="1">
      <c r="A11" s="114">
        <v>3</v>
      </c>
      <c r="B11" s="112" t="s">
        <v>1116</v>
      </c>
      <c r="C11" s="114" t="s">
        <v>1117</v>
      </c>
      <c r="D11" s="331">
        <v>2</v>
      </c>
      <c r="E11" s="331">
        <v>2</v>
      </c>
      <c r="F11" s="331">
        <v>2</v>
      </c>
      <c r="G11" s="331">
        <v>2</v>
      </c>
      <c r="H11" s="330">
        <f>G11/D11*100</f>
        <v>100</v>
      </c>
      <c r="I11" s="331">
        <v>2</v>
      </c>
      <c r="J11" s="330">
        <f>I11/G11*100</f>
        <v>100</v>
      </c>
    </row>
    <row r="12" spans="1:10" ht="16.5" thickBot="1">
      <c r="A12" s="332"/>
      <c r="B12" s="110"/>
      <c r="C12" s="332"/>
      <c r="D12" s="124"/>
      <c r="E12" s="124"/>
      <c r="F12" s="124"/>
      <c r="G12" s="124"/>
      <c r="H12" s="124"/>
      <c r="I12" s="124"/>
      <c r="J12" s="124"/>
    </row>
    <row r="13" spans="1:3" ht="16.5" thickTop="1">
      <c r="A13" s="162"/>
      <c r="B13" s="111"/>
      <c r="C13" s="162"/>
    </row>
    <row r="14" spans="1:10" ht="34.5" customHeight="1">
      <c r="A14" s="1449" t="s">
        <v>162</v>
      </c>
      <c r="B14" s="1449"/>
      <c r="C14" s="1449"/>
      <c r="D14" s="1449"/>
      <c r="E14" s="1449"/>
      <c r="F14" s="1449"/>
      <c r="G14" s="1449"/>
      <c r="H14" s="1449"/>
      <c r="I14" s="1449"/>
      <c r="J14" s="1449"/>
    </row>
  </sheetData>
  <sheetProtection/>
  <mergeCells count="11">
    <mergeCell ref="A4:J4"/>
    <mergeCell ref="A2:J2"/>
    <mergeCell ref="A3:J3"/>
    <mergeCell ref="E6:H6"/>
    <mergeCell ref="A14:J14"/>
    <mergeCell ref="A6:A7"/>
    <mergeCell ref="B6:B7"/>
    <mergeCell ref="C6:C7"/>
    <mergeCell ref="D6:D7"/>
    <mergeCell ref="I6:I7"/>
    <mergeCell ref="J6:J7"/>
  </mergeCells>
  <printOptions horizontalCentered="1"/>
  <pageMargins left="0.393055555555556" right="0.393055555555556" top="0.590277777777778" bottom="0.984027777777778" header="0.313888888888889" footer="0.313888888888889"/>
  <pageSetup firstPageNumber="1" useFirstPageNumber="1" fitToHeight="0" fitToWidth="1" horizontalDpi="600" verticalDpi="600" orientation="landscape" paperSize="9" r:id="rId1"/>
  <headerFooter differentFirst="1">
    <oddFooter>&amp;R&amp;P</oddFooter>
  </headerFooter>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J59"/>
  <sheetViews>
    <sheetView view="pageBreakPreview" zoomScale="90" zoomScaleNormal="62" zoomScaleSheetLayoutView="90" zoomScalePageLayoutView="0" workbookViewId="0" topLeftCell="A1">
      <pane xSplit="2" ySplit="7" topLeftCell="C8" activePane="bottomRight" state="frozen"/>
      <selection pane="topLeft" activeCell="A1" sqref="A1"/>
      <selection pane="topRight" activeCell="C1" sqref="C1"/>
      <selection pane="bottomLeft" activeCell="A9" sqref="A9"/>
      <selection pane="bottomRight" activeCell="H11" sqref="H11"/>
    </sheetView>
  </sheetViews>
  <sheetFormatPr defaultColWidth="9.00390625" defaultRowHeight="15.75"/>
  <cols>
    <col min="1" max="1" width="3.375" style="6" customWidth="1"/>
    <col min="2" max="2" width="40.75390625" style="6" customWidth="1"/>
    <col min="3" max="3" width="16.50390625" style="103" customWidth="1"/>
    <col min="4" max="4" width="11.75390625" style="6" customWidth="1"/>
    <col min="5" max="5" width="12.00390625" style="6" customWidth="1"/>
    <col min="6" max="6" width="0.74609375" style="6" hidden="1" customWidth="1"/>
    <col min="7" max="7" width="11.75390625" style="6" customWidth="1"/>
    <col min="8" max="8" width="13.25390625" style="6" customWidth="1"/>
    <col min="9" max="9" width="11.75390625" style="6" customWidth="1"/>
    <col min="10" max="10" width="12.50390625" style="6" customWidth="1"/>
    <col min="11" max="11" width="27.625" style="6" customWidth="1"/>
    <col min="12" max="16384" width="9.00390625" style="6" customWidth="1"/>
  </cols>
  <sheetData>
    <row r="1" spans="1:10" ht="19.5">
      <c r="A1" s="104"/>
      <c r="B1" s="4"/>
      <c r="C1" s="105"/>
      <c r="D1" s="4"/>
      <c r="E1" s="4"/>
      <c r="F1" s="4"/>
      <c r="G1" s="4"/>
      <c r="H1" s="4"/>
      <c r="I1" s="122"/>
      <c r="J1" s="1" t="s">
        <v>449</v>
      </c>
    </row>
    <row r="2" spans="1:10" ht="14.25" customHeight="1">
      <c r="A2" s="1454" t="s">
        <v>163</v>
      </c>
      <c r="B2" s="1454"/>
      <c r="C2" s="1454"/>
      <c r="D2" s="1454"/>
      <c r="E2" s="1454"/>
      <c r="F2" s="1454"/>
      <c r="G2" s="1454"/>
      <c r="H2" s="1454"/>
      <c r="I2" s="1454"/>
      <c r="J2" s="1454"/>
    </row>
    <row r="3" spans="1:10" ht="18.75" customHeight="1">
      <c r="A3" s="1376" t="s">
        <v>164</v>
      </c>
      <c r="B3" s="1376"/>
      <c r="C3" s="1376"/>
      <c r="D3" s="1376"/>
      <c r="E3" s="1376"/>
      <c r="F3" s="1376"/>
      <c r="G3" s="1376"/>
      <c r="H3" s="1376"/>
      <c r="I3" s="1376"/>
      <c r="J3" s="1376"/>
    </row>
    <row r="4" spans="1:10" ht="18.75" customHeight="1">
      <c r="A4" s="1452" t="s">
        <v>1399</v>
      </c>
      <c r="B4" s="1452"/>
      <c r="C4" s="1452"/>
      <c r="D4" s="1452"/>
      <c r="E4" s="1452"/>
      <c r="F4" s="1452"/>
      <c r="G4" s="1452"/>
      <c r="H4" s="1452"/>
      <c r="I4" s="1452"/>
      <c r="J4" s="1452"/>
    </row>
    <row r="5" spans="1:10" s="105" customFormat="1" ht="15.75" customHeight="1">
      <c r="A5" s="1450" t="s">
        <v>2</v>
      </c>
      <c r="B5" s="1450" t="s">
        <v>3</v>
      </c>
      <c r="C5" s="1450" t="s">
        <v>4</v>
      </c>
      <c r="D5" s="1450" t="s">
        <v>1278</v>
      </c>
      <c r="E5" s="1370" t="s">
        <v>1279</v>
      </c>
      <c r="F5" s="1371"/>
      <c r="G5" s="1371"/>
      <c r="H5" s="1372"/>
      <c r="I5" s="1450" t="s">
        <v>1282</v>
      </c>
      <c r="J5" s="1450" t="s">
        <v>1283</v>
      </c>
    </row>
    <row r="6" spans="1:10" s="105" customFormat="1" ht="81.75" customHeight="1">
      <c r="A6" s="1451"/>
      <c r="B6" s="1451"/>
      <c r="C6" s="1451"/>
      <c r="D6" s="1451"/>
      <c r="E6" s="142" t="s">
        <v>5</v>
      </c>
      <c r="F6" s="142" t="s">
        <v>6</v>
      </c>
      <c r="G6" s="142" t="s">
        <v>7</v>
      </c>
      <c r="H6" s="142" t="s">
        <v>1280</v>
      </c>
      <c r="I6" s="1451"/>
      <c r="J6" s="1451"/>
    </row>
    <row r="7" spans="1:10" s="2" customFormat="1" ht="15.75">
      <c r="A7" s="152">
        <v>1</v>
      </c>
      <c r="B7" s="152">
        <v>2</v>
      </c>
      <c r="C7" s="152">
        <v>3</v>
      </c>
      <c r="D7" s="152">
        <v>4</v>
      </c>
      <c r="E7" s="152">
        <v>5</v>
      </c>
      <c r="F7" s="152">
        <v>6</v>
      </c>
      <c r="G7" s="152">
        <v>6</v>
      </c>
      <c r="H7" s="152" t="s">
        <v>981</v>
      </c>
      <c r="I7" s="152">
        <v>8</v>
      </c>
      <c r="J7" s="152" t="s">
        <v>1064</v>
      </c>
    </row>
    <row r="8" spans="1:10" ht="24.75" customHeight="1">
      <c r="A8" s="10" t="s">
        <v>46</v>
      </c>
      <c r="B8" s="11" t="s">
        <v>165</v>
      </c>
      <c r="C8" s="152"/>
      <c r="D8" s="114"/>
      <c r="E8" s="114"/>
      <c r="F8" s="114"/>
      <c r="G8" s="114"/>
      <c r="H8" s="114"/>
      <c r="I8" s="114"/>
      <c r="J8" s="114"/>
    </row>
    <row r="9" spans="1:10" ht="24.75" customHeight="1">
      <c r="A9" s="19" t="s">
        <v>104</v>
      </c>
      <c r="B9" s="155" t="s">
        <v>166</v>
      </c>
      <c r="C9" s="19"/>
      <c r="D9" s="191"/>
      <c r="E9" s="191"/>
      <c r="F9" s="191"/>
      <c r="G9" s="191"/>
      <c r="H9" s="191"/>
      <c r="I9" s="191"/>
      <c r="J9" s="191"/>
    </row>
    <row r="10" spans="1:10" ht="24.75" customHeight="1">
      <c r="A10" s="114">
        <v>1</v>
      </c>
      <c r="B10" s="133" t="s">
        <v>167</v>
      </c>
      <c r="C10" s="152" t="s">
        <v>168</v>
      </c>
      <c r="D10" s="176">
        <v>2</v>
      </c>
      <c r="E10" s="176">
        <v>2</v>
      </c>
      <c r="F10" s="176">
        <v>2</v>
      </c>
      <c r="G10" s="176">
        <v>2</v>
      </c>
      <c r="H10" s="572">
        <f>G10/D10*100</f>
        <v>100</v>
      </c>
      <c r="I10" s="176">
        <v>2</v>
      </c>
      <c r="J10" s="572">
        <f>I10/G10*100</f>
        <v>100</v>
      </c>
    </row>
    <row r="11" spans="1:10" ht="24.75" customHeight="1">
      <c r="A11" s="114">
        <v>2</v>
      </c>
      <c r="B11" s="133" t="s">
        <v>1124</v>
      </c>
      <c r="C11" s="152" t="s">
        <v>18</v>
      </c>
      <c r="D11" s="573" t="s">
        <v>1324</v>
      </c>
      <c r="E11" s="177">
        <v>1075651.3530000001</v>
      </c>
      <c r="F11" s="177">
        <v>1004343</v>
      </c>
      <c r="G11" s="177">
        <v>1011042</v>
      </c>
      <c r="H11" s="572">
        <f>G11/D11*100</f>
        <v>100.23227940148647</v>
      </c>
      <c r="I11" s="177">
        <v>1088000</v>
      </c>
      <c r="J11" s="572">
        <f>I11/G11*100</f>
        <v>107.61175104496155</v>
      </c>
    </row>
    <row r="12" spans="1:10" ht="24.75" customHeight="1">
      <c r="A12" s="114">
        <v>3</v>
      </c>
      <c r="B12" s="133" t="s">
        <v>169</v>
      </c>
      <c r="C12" s="152" t="s">
        <v>18</v>
      </c>
      <c r="D12" s="573" t="s">
        <v>1325</v>
      </c>
      <c r="E12" s="177">
        <v>25858</v>
      </c>
      <c r="F12" s="177">
        <v>15763.381576</v>
      </c>
      <c r="G12" s="573" t="s">
        <v>1326</v>
      </c>
      <c r="H12" s="572">
        <f>G12/D12*100</f>
        <v>100.90997539060265</v>
      </c>
      <c r="I12" s="177">
        <v>36322</v>
      </c>
      <c r="J12" s="572">
        <f>I12/G12*100</f>
        <v>103.00022686025407</v>
      </c>
    </row>
    <row r="13" spans="1:10" ht="24.75" customHeight="1">
      <c r="A13" s="114">
        <v>4</v>
      </c>
      <c r="B13" s="133" t="s">
        <v>170</v>
      </c>
      <c r="C13" s="152" t="s">
        <v>18</v>
      </c>
      <c r="D13" s="574">
        <v>3987</v>
      </c>
      <c r="E13" s="177">
        <v>4064</v>
      </c>
      <c r="F13" s="177">
        <f>E13*25%</f>
        <v>1016</v>
      </c>
      <c r="G13" s="177">
        <v>4564</v>
      </c>
      <c r="H13" s="572">
        <f>G13/D13*100</f>
        <v>114.47203411086029</v>
      </c>
      <c r="I13" s="177">
        <v>4929</v>
      </c>
      <c r="J13" s="572">
        <f>I13/G13*100</f>
        <v>107.99737072743207</v>
      </c>
    </row>
    <row r="14" spans="1:10" ht="24.75" customHeight="1">
      <c r="A14" s="114">
        <v>5</v>
      </c>
      <c r="B14" s="133" t="s">
        <v>171</v>
      </c>
      <c r="C14" s="152" t="s">
        <v>168</v>
      </c>
      <c r="D14" s="176"/>
      <c r="E14" s="176"/>
      <c r="F14" s="176"/>
      <c r="G14" s="176"/>
      <c r="H14" s="572"/>
      <c r="I14" s="176"/>
      <c r="J14" s="186"/>
    </row>
    <row r="15" spans="1:10" s="5" customFormat="1" ht="36.75" customHeight="1">
      <c r="A15" s="575"/>
      <c r="B15" s="576" t="s">
        <v>172</v>
      </c>
      <c r="C15" s="577" t="s">
        <v>168</v>
      </c>
      <c r="D15" s="178">
        <v>2</v>
      </c>
      <c r="E15" s="178">
        <v>2</v>
      </c>
      <c r="F15" s="178">
        <v>2</v>
      </c>
      <c r="G15" s="178">
        <v>2</v>
      </c>
      <c r="H15" s="572">
        <v>100</v>
      </c>
      <c r="I15" s="178">
        <v>2</v>
      </c>
      <c r="J15" s="572">
        <v>100</v>
      </c>
    </row>
    <row r="16" spans="1:10" s="5" customFormat="1" ht="24.75" customHeight="1">
      <c r="A16" s="575"/>
      <c r="B16" s="576" t="s">
        <v>173</v>
      </c>
      <c r="C16" s="577" t="s">
        <v>168</v>
      </c>
      <c r="D16" s="179"/>
      <c r="E16" s="179"/>
      <c r="F16" s="179"/>
      <c r="G16" s="179"/>
      <c r="H16" s="179"/>
      <c r="I16" s="179"/>
      <c r="J16" s="177"/>
    </row>
    <row r="17" spans="1:10" s="5" customFormat="1" ht="39.75" customHeight="1">
      <c r="A17" s="575"/>
      <c r="B17" s="576" t="s">
        <v>174</v>
      </c>
      <c r="C17" s="577"/>
      <c r="D17" s="180"/>
      <c r="E17" s="179"/>
      <c r="F17" s="180"/>
      <c r="G17" s="179"/>
      <c r="H17" s="179"/>
      <c r="I17" s="179"/>
      <c r="J17" s="177"/>
    </row>
    <row r="18" spans="1:10" ht="24.75" customHeight="1">
      <c r="A18" s="10" t="s">
        <v>114</v>
      </c>
      <c r="B18" s="578" t="s">
        <v>175</v>
      </c>
      <c r="C18" s="19"/>
      <c r="D18" s="182"/>
      <c r="E18" s="182"/>
      <c r="F18" s="579"/>
      <c r="G18" s="182"/>
      <c r="H18" s="182"/>
      <c r="I18" s="182"/>
      <c r="J18" s="177"/>
    </row>
    <row r="19" spans="1:10" ht="39.75" customHeight="1">
      <c r="A19" s="114">
        <v>1</v>
      </c>
      <c r="B19" s="112" t="s">
        <v>176</v>
      </c>
      <c r="C19" s="152" t="s">
        <v>168</v>
      </c>
      <c r="D19" s="587">
        <v>1028</v>
      </c>
      <c r="E19" s="587">
        <v>1200</v>
      </c>
      <c r="F19" s="587">
        <v>1079</v>
      </c>
      <c r="G19" s="959">
        <v>1129</v>
      </c>
      <c r="H19" s="572">
        <f aca="true" t="shared" si="0" ref="H19:H25">G19/D19*100</f>
        <v>109.82490272373542</v>
      </c>
      <c r="I19" s="587">
        <f>G19*108%</f>
        <v>1219.3200000000002</v>
      </c>
      <c r="J19" s="588">
        <f>I19/G19*100</f>
        <v>108</v>
      </c>
    </row>
    <row r="20" spans="1:10" s="5" customFormat="1" ht="39.75" customHeight="1">
      <c r="A20" s="16"/>
      <c r="B20" s="113" t="s">
        <v>177</v>
      </c>
      <c r="C20" s="577"/>
      <c r="D20" s="580">
        <v>7</v>
      </c>
      <c r="E20" s="580">
        <v>5</v>
      </c>
      <c r="F20" s="580">
        <v>7</v>
      </c>
      <c r="G20" s="580">
        <v>5</v>
      </c>
      <c r="H20" s="572">
        <f t="shared" si="0"/>
        <v>71.42857142857143</v>
      </c>
      <c r="I20" s="580">
        <v>3</v>
      </c>
      <c r="J20" s="588">
        <f>I20/G20*100</f>
        <v>60</v>
      </c>
    </row>
    <row r="21" spans="1:10" ht="39.75" customHeight="1">
      <c r="A21" s="114">
        <v>2</v>
      </c>
      <c r="B21" s="185" t="s">
        <v>178</v>
      </c>
      <c r="C21" s="152" t="s">
        <v>168</v>
      </c>
      <c r="D21" s="587">
        <v>128</v>
      </c>
      <c r="E21" s="587">
        <v>150</v>
      </c>
      <c r="F21" s="587">
        <v>51</v>
      </c>
      <c r="G21" s="587">
        <v>135</v>
      </c>
      <c r="H21" s="589">
        <f t="shared" si="0"/>
        <v>105.46875</v>
      </c>
      <c r="I21" s="587">
        <f>G21*106%</f>
        <v>143.1</v>
      </c>
      <c r="J21" s="588">
        <f>I21/G21*100</f>
        <v>106</v>
      </c>
    </row>
    <row r="22" spans="1:10" s="122" customFormat="1" ht="39.75" customHeight="1">
      <c r="A22" s="114">
        <v>3</v>
      </c>
      <c r="B22" s="185" t="s">
        <v>179</v>
      </c>
      <c r="C22" s="152" t="s">
        <v>18</v>
      </c>
      <c r="D22" s="177">
        <v>20552879</v>
      </c>
      <c r="E22" s="177">
        <v>20280619</v>
      </c>
      <c r="F22" s="177">
        <v>18696619</v>
      </c>
      <c r="G22" s="177">
        <v>21908000</v>
      </c>
      <c r="H22" s="589">
        <f t="shared" si="0"/>
        <v>106.5933390645661</v>
      </c>
      <c r="I22" s="177">
        <v>23543000</v>
      </c>
      <c r="J22" s="588">
        <f>I22/G22*100</f>
        <v>107.46302720467409</v>
      </c>
    </row>
    <row r="23" spans="1:10" s="5" customFormat="1" ht="39.75" customHeight="1">
      <c r="A23" s="16"/>
      <c r="B23" s="113" t="s">
        <v>180</v>
      </c>
      <c r="C23" s="577" t="s">
        <v>18</v>
      </c>
      <c r="D23" s="177">
        <v>450140</v>
      </c>
      <c r="E23" s="177">
        <v>179985.625</v>
      </c>
      <c r="F23" s="177">
        <f>E23</f>
        <v>179985.625</v>
      </c>
      <c r="G23" s="177">
        <v>441713</v>
      </c>
      <c r="H23" s="589">
        <f t="shared" si="0"/>
        <v>98.12791575954148</v>
      </c>
      <c r="I23" s="177">
        <v>429452</v>
      </c>
      <c r="J23" s="588">
        <f>I23/G23*100</f>
        <v>97.22421572378444</v>
      </c>
    </row>
    <row r="24" spans="1:10" ht="27.75" customHeight="1">
      <c r="A24" s="114">
        <v>4</v>
      </c>
      <c r="B24" s="185" t="s">
        <v>181</v>
      </c>
      <c r="C24" s="152" t="s">
        <v>168</v>
      </c>
      <c r="D24" s="587">
        <f>43+12+11</f>
        <v>66</v>
      </c>
      <c r="E24" s="587"/>
      <c r="F24" s="587">
        <v>31</v>
      </c>
      <c r="G24" s="587">
        <v>70</v>
      </c>
      <c r="H24" s="589">
        <f t="shared" si="0"/>
        <v>106.06060606060606</v>
      </c>
      <c r="I24" s="587"/>
      <c r="J24" s="588"/>
    </row>
    <row r="25" spans="1:10" ht="24.75" customHeight="1">
      <c r="A25" s="114">
        <v>5</v>
      </c>
      <c r="B25" s="133" t="s">
        <v>182</v>
      </c>
      <c r="C25" s="152" t="s">
        <v>168</v>
      </c>
      <c r="D25" s="177">
        <v>803</v>
      </c>
      <c r="E25" s="177">
        <v>808</v>
      </c>
      <c r="F25" s="177">
        <f>E25*40%</f>
        <v>323.20000000000005</v>
      </c>
      <c r="G25" s="177">
        <v>927</v>
      </c>
      <c r="H25" s="589">
        <f t="shared" si="0"/>
        <v>115.44209215442092</v>
      </c>
      <c r="I25" s="589">
        <v>1020</v>
      </c>
      <c r="J25" s="588">
        <f>I25/G25*100</f>
        <v>110.03236245954693</v>
      </c>
    </row>
    <row r="26" spans="1:10" ht="24.75" customHeight="1">
      <c r="A26" s="114">
        <v>6</v>
      </c>
      <c r="B26" s="133" t="s">
        <v>183</v>
      </c>
      <c r="C26" s="152" t="s">
        <v>168</v>
      </c>
      <c r="D26" s="177">
        <v>124</v>
      </c>
      <c r="E26" s="177"/>
      <c r="F26" s="177">
        <f>E26*40%</f>
        <v>0</v>
      </c>
      <c r="G26" s="177"/>
      <c r="H26" s="589"/>
      <c r="I26" s="177"/>
      <c r="J26" s="177"/>
    </row>
    <row r="27" spans="1:10" ht="24.75" customHeight="1">
      <c r="A27" s="114">
        <v>7</v>
      </c>
      <c r="B27" s="133" t="s">
        <v>184</v>
      </c>
      <c r="C27" s="152" t="s">
        <v>185</v>
      </c>
      <c r="D27" s="587">
        <v>46560</v>
      </c>
      <c r="E27" s="587">
        <v>44896</v>
      </c>
      <c r="F27" s="587">
        <f>E27</f>
        <v>44896</v>
      </c>
      <c r="G27" s="587">
        <f>D27*102%</f>
        <v>47491.200000000004</v>
      </c>
      <c r="H27" s="589">
        <f aca="true" t="shared" si="1" ref="H27:H36">G27/D27*100</f>
        <v>102</v>
      </c>
      <c r="I27" s="587">
        <f>G27*102%</f>
        <v>48441.024000000005</v>
      </c>
      <c r="J27" s="588">
        <f aca="true" t="shared" si="2" ref="J27:J34">I27/G27*100</f>
        <v>102</v>
      </c>
    </row>
    <row r="28" spans="1:10" ht="24.75" customHeight="1">
      <c r="A28" s="114">
        <v>8</v>
      </c>
      <c r="B28" s="133" t="s">
        <v>186</v>
      </c>
      <c r="C28" s="152" t="s">
        <v>18</v>
      </c>
      <c r="D28" s="587">
        <v>62</v>
      </c>
      <c r="E28" s="587">
        <v>60</v>
      </c>
      <c r="F28" s="587">
        <v>30</v>
      </c>
      <c r="G28" s="590" t="s">
        <v>1327</v>
      </c>
      <c r="H28" s="589">
        <f t="shared" si="1"/>
        <v>102.41935483870968</v>
      </c>
      <c r="I28" s="587">
        <v>65</v>
      </c>
      <c r="J28" s="588">
        <f t="shared" si="2"/>
        <v>102.36220472440945</v>
      </c>
    </row>
    <row r="29" spans="1:10" ht="24.75" customHeight="1">
      <c r="A29" s="114">
        <v>9</v>
      </c>
      <c r="B29" s="133" t="s">
        <v>187</v>
      </c>
      <c r="C29" s="152" t="s">
        <v>18</v>
      </c>
      <c r="D29" s="587">
        <v>66950177</v>
      </c>
      <c r="E29" s="587">
        <v>68081395</v>
      </c>
      <c r="F29" s="587">
        <f>D29+(D29*0.5%)</f>
        <v>67284927.885</v>
      </c>
      <c r="G29" s="587">
        <f>F29*3%+F29</f>
        <v>69303475.72155</v>
      </c>
      <c r="H29" s="589">
        <f t="shared" si="1"/>
        <v>103.515</v>
      </c>
      <c r="I29" s="587">
        <f>G29*105%</f>
        <v>72768649.5076275</v>
      </c>
      <c r="J29" s="588">
        <f t="shared" si="2"/>
        <v>105</v>
      </c>
    </row>
    <row r="30" spans="1:10" ht="35.25" customHeight="1">
      <c r="A30" s="123" t="s">
        <v>11</v>
      </c>
      <c r="B30" s="112" t="s">
        <v>188</v>
      </c>
      <c r="C30" s="152" t="s">
        <v>18</v>
      </c>
      <c r="D30" s="177">
        <v>599977</v>
      </c>
      <c r="E30" s="177">
        <v>335118.0630897778</v>
      </c>
      <c r="F30" s="177">
        <f>D30</f>
        <v>599977</v>
      </c>
      <c r="G30" s="177">
        <v>659975</v>
      </c>
      <c r="H30" s="589">
        <f t="shared" si="1"/>
        <v>110.00005000191675</v>
      </c>
      <c r="I30" s="177">
        <v>692974</v>
      </c>
      <c r="J30" s="588">
        <f t="shared" si="2"/>
        <v>105.00003788022273</v>
      </c>
    </row>
    <row r="31" spans="1:10" ht="24.75" customHeight="1">
      <c r="A31" s="123" t="s">
        <v>11</v>
      </c>
      <c r="B31" s="112" t="s">
        <v>189</v>
      </c>
      <c r="C31" s="152" t="s">
        <v>18</v>
      </c>
      <c r="D31" s="177">
        <v>13572985</v>
      </c>
      <c r="E31" s="177">
        <v>11705821.05</v>
      </c>
      <c r="F31" s="177">
        <f aca="true" t="shared" si="3" ref="F31:F36">E31*40%</f>
        <v>4682328.420000001</v>
      </c>
      <c r="G31" s="177">
        <f>D31*5%+D31</f>
        <v>14251634.25</v>
      </c>
      <c r="H31" s="589">
        <f t="shared" si="1"/>
        <v>105</v>
      </c>
      <c r="I31" s="177">
        <v>15106732</v>
      </c>
      <c r="J31" s="588">
        <f t="shared" si="2"/>
        <v>105.99999785989456</v>
      </c>
    </row>
    <row r="32" spans="1:10" ht="24.75" customHeight="1">
      <c r="A32" s="123" t="s">
        <v>11</v>
      </c>
      <c r="B32" s="112" t="s">
        <v>190</v>
      </c>
      <c r="C32" s="152" t="s">
        <v>18</v>
      </c>
      <c r="D32" s="177">
        <v>31799483</v>
      </c>
      <c r="E32" s="177">
        <v>29847872.25</v>
      </c>
      <c r="F32" s="177">
        <f t="shared" si="3"/>
        <v>11939148.9</v>
      </c>
      <c r="G32" s="177">
        <v>34407041</v>
      </c>
      <c r="H32" s="589">
        <f t="shared" si="1"/>
        <v>108.20000123901386</v>
      </c>
      <c r="I32" s="177">
        <v>37262835</v>
      </c>
      <c r="J32" s="588">
        <f t="shared" si="2"/>
        <v>108.30002789254675</v>
      </c>
    </row>
    <row r="33" spans="1:10" ht="24.75" customHeight="1">
      <c r="A33" s="123" t="s">
        <v>11</v>
      </c>
      <c r="B33" s="112" t="s">
        <v>191</v>
      </c>
      <c r="C33" s="152" t="s">
        <v>18</v>
      </c>
      <c r="D33" s="177">
        <v>18185622</v>
      </c>
      <c r="E33" s="177">
        <v>13702407.600000001</v>
      </c>
      <c r="F33" s="177">
        <f t="shared" si="3"/>
        <v>5480963.040000001</v>
      </c>
      <c r="G33" s="177">
        <f>D33*8%+D33</f>
        <v>19640471.76</v>
      </c>
      <c r="H33" s="589">
        <f t="shared" si="1"/>
        <v>108</v>
      </c>
      <c r="I33" s="177">
        <v>21172429</v>
      </c>
      <c r="J33" s="588">
        <f t="shared" si="2"/>
        <v>107.80000225412101</v>
      </c>
    </row>
    <row r="34" spans="1:10" ht="24.75" customHeight="1">
      <c r="A34" s="123" t="s">
        <v>11</v>
      </c>
      <c r="B34" s="112" t="s">
        <v>170</v>
      </c>
      <c r="C34" s="152" t="s">
        <v>18</v>
      </c>
      <c r="D34" s="177">
        <v>156502</v>
      </c>
      <c r="E34" s="177">
        <v>264924.45</v>
      </c>
      <c r="F34" s="177">
        <f t="shared" si="3"/>
        <v>105969.78000000001</v>
      </c>
      <c r="G34" s="177">
        <v>182989</v>
      </c>
      <c r="H34" s="589">
        <f t="shared" si="1"/>
        <v>116.92438435291561</v>
      </c>
      <c r="I34" s="177">
        <v>223898</v>
      </c>
      <c r="J34" s="588">
        <f t="shared" si="2"/>
        <v>122.3559886113373</v>
      </c>
    </row>
    <row r="35" spans="1:10" ht="24.75" customHeight="1">
      <c r="A35" s="123" t="s">
        <v>11</v>
      </c>
      <c r="B35" s="112" t="s">
        <v>192</v>
      </c>
      <c r="C35" s="152" t="s">
        <v>18</v>
      </c>
      <c r="D35" s="177">
        <v>26676</v>
      </c>
      <c r="E35" s="177">
        <v>159606.66666666666</v>
      </c>
      <c r="F35" s="177">
        <f t="shared" si="3"/>
        <v>63842.666666666664</v>
      </c>
      <c r="G35" s="177"/>
      <c r="H35" s="589">
        <f t="shared" si="1"/>
        <v>0</v>
      </c>
      <c r="I35" s="177"/>
      <c r="J35" s="588"/>
    </row>
    <row r="36" spans="1:10" ht="24.75" customHeight="1">
      <c r="A36" s="123" t="s">
        <v>11</v>
      </c>
      <c r="B36" s="112" t="s">
        <v>193</v>
      </c>
      <c r="C36" s="152" t="s">
        <v>18</v>
      </c>
      <c r="D36" s="177">
        <v>875006</v>
      </c>
      <c r="E36" s="177">
        <v>277726.14999999997</v>
      </c>
      <c r="F36" s="177">
        <f t="shared" si="3"/>
        <v>111090.45999999999</v>
      </c>
      <c r="G36" s="177">
        <v>922507</v>
      </c>
      <c r="H36" s="589">
        <f t="shared" si="1"/>
        <v>105.4286484892675</v>
      </c>
      <c r="I36" s="177">
        <f>G36*8%+G36</f>
        <v>996307.56</v>
      </c>
      <c r="J36" s="588">
        <f>I36/G36*100</f>
        <v>108</v>
      </c>
    </row>
    <row r="37" spans="1:10" ht="34.5" customHeight="1">
      <c r="A37" s="123" t="s">
        <v>11</v>
      </c>
      <c r="B37" s="112" t="s">
        <v>194</v>
      </c>
      <c r="C37" s="152" t="s">
        <v>18</v>
      </c>
      <c r="D37" s="182"/>
      <c r="E37" s="182">
        <v>453</v>
      </c>
      <c r="F37" s="182"/>
      <c r="G37" s="182">
        <v>50</v>
      </c>
      <c r="H37" s="589"/>
      <c r="I37" s="177">
        <v>1400</v>
      </c>
      <c r="J37" s="588"/>
    </row>
    <row r="38" spans="1:10" s="4" customFormat="1" ht="24.75" customHeight="1">
      <c r="A38" s="10" t="s">
        <v>88</v>
      </c>
      <c r="B38" s="11" t="s">
        <v>195</v>
      </c>
      <c r="C38" s="19"/>
      <c r="D38" s="181"/>
      <c r="E38" s="181"/>
      <c r="F38" s="181"/>
      <c r="G38" s="181"/>
      <c r="H38" s="181"/>
      <c r="I38" s="181"/>
      <c r="J38" s="177"/>
    </row>
    <row r="39" spans="1:10" ht="24.75" customHeight="1">
      <c r="A39" s="106" t="s">
        <v>104</v>
      </c>
      <c r="B39" s="107" t="s">
        <v>196</v>
      </c>
      <c r="C39" s="106"/>
      <c r="D39" s="182"/>
      <c r="E39" s="182"/>
      <c r="F39" s="182"/>
      <c r="G39" s="182"/>
      <c r="H39" s="182"/>
      <c r="I39" s="182"/>
      <c r="J39" s="177"/>
    </row>
    <row r="40" spans="1:10" s="5" customFormat="1" ht="24.75" customHeight="1">
      <c r="A40" s="164">
        <v>1</v>
      </c>
      <c r="B40" s="581" t="s">
        <v>1328</v>
      </c>
      <c r="C40" s="164" t="s">
        <v>196</v>
      </c>
      <c r="D40" s="591">
        <v>196</v>
      </c>
      <c r="E40" s="591">
        <v>216</v>
      </c>
      <c r="F40" s="591">
        <v>212</v>
      </c>
      <c r="G40" s="591">
        <v>200</v>
      </c>
      <c r="H40" s="591">
        <f>G40/D40*100</f>
        <v>102.04081632653062</v>
      </c>
      <c r="I40" s="591">
        <v>195</v>
      </c>
      <c r="J40" s="588">
        <f aca="true" t="shared" si="4" ref="J40:J48">I40/G40*100</f>
        <v>97.5</v>
      </c>
    </row>
    <row r="41" spans="1:10" ht="24" customHeight="1">
      <c r="A41" s="164"/>
      <c r="B41" s="109" t="s">
        <v>10</v>
      </c>
      <c r="C41" s="164"/>
      <c r="D41" s="591"/>
      <c r="E41" s="591"/>
      <c r="F41" s="591"/>
      <c r="G41" s="591"/>
      <c r="H41" s="591"/>
      <c r="I41" s="591"/>
      <c r="J41" s="588"/>
    </row>
    <row r="42" spans="1:10" s="5" customFormat="1" ht="18.75" customHeight="1">
      <c r="A42" s="582" t="s">
        <v>11</v>
      </c>
      <c r="B42" s="581" t="s">
        <v>197</v>
      </c>
      <c r="C42" s="164" t="s">
        <v>196</v>
      </c>
      <c r="D42" s="591">
        <v>23</v>
      </c>
      <c r="E42" s="591">
        <v>20</v>
      </c>
      <c r="F42" s="591">
        <v>19</v>
      </c>
      <c r="G42" s="591">
        <v>24</v>
      </c>
      <c r="H42" s="591">
        <f aca="true" t="shared" si="5" ref="H42:H48">G42/D42*100</f>
        <v>104.34782608695652</v>
      </c>
      <c r="I42" s="591">
        <v>25</v>
      </c>
      <c r="J42" s="588">
        <f t="shared" si="4"/>
        <v>104.16666666666667</v>
      </c>
    </row>
    <row r="43" spans="1:10" ht="18.75" customHeight="1">
      <c r="A43" s="582" t="s">
        <v>11</v>
      </c>
      <c r="B43" s="581" t="s">
        <v>198</v>
      </c>
      <c r="C43" s="164" t="s">
        <v>196</v>
      </c>
      <c r="D43" s="591">
        <v>27</v>
      </c>
      <c r="E43" s="591">
        <v>30</v>
      </c>
      <c r="F43" s="591">
        <v>6</v>
      </c>
      <c r="G43" s="591">
        <v>20</v>
      </c>
      <c r="H43" s="591">
        <f t="shared" si="5"/>
        <v>74.07407407407408</v>
      </c>
      <c r="I43" s="591">
        <v>30</v>
      </c>
      <c r="J43" s="588">
        <f t="shared" si="4"/>
        <v>150</v>
      </c>
    </row>
    <row r="44" spans="1:10" s="5" customFormat="1" ht="18.75" customHeight="1">
      <c r="A44" s="164">
        <v>2</v>
      </c>
      <c r="B44" s="581" t="s">
        <v>199</v>
      </c>
      <c r="C44" s="164" t="s">
        <v>185</v>
      </c>
      <c r="D44" s="591">
        <v>13223</v>
      </c>
      <c r="E44" s="591">
        <v>11368</v>
      </c>
      <c r="F44" s="591">
        <v>13114</v>
      </c>
      <c r="G44" s="591">
        <v>11368</v>
      </c>
      <c r="H44" s="591">
        <f t="shared" si="5"/>
        <v>85.97141344626786</v>
      </c>
      <c r="I44" s="591">
        <v>8892</v>
      </c>
      <c r="J44" s="588">
        <f t="shared" si="4"/>
        <v>78.21956368754398</v>
      </c>
    </row>
    <row r="45" spans="1:10" ht="18.75" customHeight="1">
      <c r="A45" s="164">
        <v>3</v>
      </c>
      <c r="B45" s="581" t="s">
        <v>200</v>
      </c>
      <c r="C45" s="164" t="s">
        <v>185</v>
      </c>
      <c r="D45" s="591">
        <v>9595</v>
      </c>
      <c r="E45" s="591">
        <v>12655</v>
      </c>
      <c r="F45" s="591">
        <v>9298</v>
      </c>
      <c r="G45" s="591">
        <v>12355</v>
      </c>
      <c r="H45" s="591">
        <f t="shared" si="5"/>
        <v>128.764981761334</v>
      </c>
      <c r="I45" s="591">
        <v>10027</v>
      </c>
      <c r="J45" s="588">
        <f t="shared" si="4"/>
        <v>81.15742614326183</v>
      </c>
    </row>
    <row r="46" spans="1:10" s="5" customFormat="1" ht="21" customHeight="1">
      <c r="A46" s="164"/>
      <c r="B46" s="109" t="s">
        <v>201</v>
      </c>
      <c r="C46" s="164" t="s">
        <v>185</v>
      </c>
      <c r="D46" s="591">
        <v>8100</v>
      </c>
      <c r="E46" s="591">
        <v>11343</v>
      </c>
      <c r="F46" s="591">
        <v>7987</v>
      </c>
      <c r="G46" s="591">
        <v>11158</v>
      </c>
      <c r="H46" s="591">
        <f t="shared" si="5"/>
        <v>137.7530864197531</v>
      </c>
      <c r="I46" s="591">
        <v>8557</v>
      </c>
      <c r="J46" s="588">
        <f t="shared" si="4"/>
        <v>76.68937085499194</v>
      </c>
    </row>
    <row r="47" spans="1:10" s="5" customFormat="1" ht="21" customHeight="1">
      <c r="A47" s="164">
        <v>4</v>
      </c>
      <c r="B47" s="581" t="s">
        <v>420</v>
      </c>
      <c r="C47" s="164" t="s">
        <v>18</v>
      </c>
      <c r="D47" s="591">
        <v>122664</v>
      </c>
      <c r="E47" s="591">
        <v>134519</v>
      </c>
      <c r="F47" s="591">
        <v>122000</v>
      </c>
      <c r="G47" s="591">
        <v>134519</v>
      </c>
      <c r="H47" s="591">
        <f t="shared" si="5"/>
        <v>109.66461227417987</v>
      </c>
      <c r="I47" s="591">
        <v>146000</v>
      </c>
      <c r="J47" s="588">
        <f t="shared" si="4"/>
        <v>108.53485381247259</v>
      </c>
    </row>
    <row r="48" spans="1:10" s="5" customFormat="1" ht="21" customHeight="1">
      <c r="A48" s="164"/>
      <c r="B48" s="120" t="s">
        <v>421</v>
      </c>
      <c r="C48" s="121" t="s">
        <v>18</v>
      </c>
      <c r="D48" s="591">
        <v>62332</v>
      </c>
      <c r="E48" s="591">
        <v>63224</v>
      </c>
      <c r="F48" s="591"/>
      <c r="G48" s="591">
        <v>63224</v>
      </c>
      <c r="H48" s="591">
        <f t="shared" si="5"/>
        <v>101.43104665340434</v>
      </c>
      <c r="I48" s="591">
        <v>70000</v>
      </c>
      <c r="J48" s="588">
        <f t="shared" si="4"/>
        <v>110.71744906997343</v>
      </c>
    </row>
    <row r="49" spans="1:10" s="108" customFormat="1" ht="21" customHeight="1">
      <c r="A49" s="164">
        <v>5</v>
      </c>
      <c r="B49" s="583" t="s">
        <v>422</v>
      </c>
      <c r="C49" s="164" t="s">
        <v>18</v>
      </c>
      <c r="D49" s="591">
        <v>36.72</v>
      </c>
      <c r="E49" s="591">
        <v>28</v>
      </c>
      <c r="F49" s="591">
        <v>20</v>
      </c>
      <c r="G49" s="591">
        <v>38</v>
      </c>
      <c r="H49" s="591">
        <f>G49/D49*100</f>
        <v>103.48583877995642</v>
      </c>
      <c r="I49" s="591">
        <v>39.36</v>
      </c>
      <c r="J49" s="588">
        <f>I49/G49*100</f>
        <v>103.57894736842105</v>
      </c>
    </row>
    <row r="50" spans="1:10" ht="24.75" customHeight="1">
      <c r="A50" s="106" t="s">
        <v>114</v>
      </c>
      <c r="B50" s="107" t="s">
        <v>202</v>
      </c>
      <c r="C50" s="164"/>
      <c r="D50" s="182"/>
      <c r="E50" s="182"/>
      <c r="F50" s="182"/>
      <c r="G50" s="182"/>
      <c r="H50" s="182"/>
      <c r="I50" s="182"/>
      <c r="J50" s="579"/>
    </row>
    <row r="51" spans="1:10" ht="31.5" customHeight="1">
      <c r="A51" s="582" t="s">
        <v>11</v>
      </c>
      <c r="B51" s="581" t="s">
        <v>203</v>
      </c>
      <c r="C51" s="164" t="s">
        <v>495</v>
      </c>
      <c r="D51" s="182"/>
      <c r="E51" s="182"/>
      <c r="F51" s="182"/>
      <c r="G51" s="182"/>
      <c r="H51" s="182"/>
      <c r="I51" s="184">
        <v>1</v>
      </c>
      <c r="J51" s="579"/>
    </row>
    <row r="52" spans="1:10" s="5" customFormat="1" ht="30" customHeight="1">
      <c r="A52" s="164"/>
      <c r="B52" s="584" t="s">
        <v>204</v>
      </c>
      <c r="C52" s="164" t="s">
        <v>495</v>
      </c>
      <c r="D52" s="179"/>
      <c r="E52" s="179"/>
      <c r="F52" s="179"/>
      <c r="G52" s="183"/>
      <c r="H52" s="179"/>
      <c r="I52" s="179">
        <v>1</v>
      </c>
      <c r="J52" s="180"/>
    </row>
    <row r="53" spans="1:10" ht="24.75" customHeight="1">
      <c r="A53" s="106" t="s">
        <v>118</v>
      </c>
      <c r="B53" s="107" t="s">
        <v>205</v>
      </c>
      <c r="C53" s="106"/>
      <c r="D53" s="182"/>
      <c r="E53" s="182"/>
      <c r="F53" s="182"/>
      <c r="G53" s="182"/>
      <c r="H53" s="182"/>
      <c r="I53" s="182"/>
      <c r="J53" s="579"/>
    </row>
    <row r="54" spans="1:10" ht="24.75" customHeight="1">
      <c r="A54" s="164">
        <v>1</v>
      </c>
      <c r="B54" s="581" t="s">
        <v>206</v>
      </c>
      <c r="C54" s="164" t="s">
        <v>207</v>
      </c>
      <c r="D54" s="591">
        <v>408</v>
      </c>
      <c r="E54" s="591">
        <v>430</v>
      </c>
      <c r="F54" s="591">
        <v>417</v>
      </c>
      <c r="G54" s="591">
        <v>424</v>
      </c>
      <c r="H54" s="591">
        <f>G54/D54*100</f>
        <v>103.921568627451</v>
      </c>
      <c r="I54" s="591">
        <v>445</v>
      </c>
      <c r="J54" s="588">
        <f>I54/G54*100</f>
        <v>104.95283018867924</v>
      </c>
    </row>
    <row r="55" spans="1:10" s="5" customFormat="1" ht="24.75" customHeight="1">
      <c r="A55" s="164"/>
      <c r="B55" s="581" t="s">
        <v>208</v>
      </c>
      <c r="C55" s="164" t="s">
        <v>207</v>
      </c>
      <c r="D55" s="591">
        <v>134</v>
      </c>
      <c r="E55" s="591">
        <v>112</v>
      </c>
      <c r="F55" s="591">
        <v>126</v>
      </c>
      <c r="G55" s="591">
        <v>138</v>
      </c>
      <c r="H55" s="591">
        <f>G55/D55*100</f>
        <v>102.98507462686568</v>
      </c>
      <c r="I55" s="591">
        <v>147</v>
      </c>
      <c r="J55" s="588">
        <f>I55/G55*100</f>
        <v>106.5217391304348</v>
      </c>
    </row>
    <row r="56" spans="1:10" ht="24.75" customHeight="1">
      <c r="A56" s="585">
        <v>2</v>
      </c>
      <c r="B56" s="586" t="s">
        <v>209</v>
      </c>
      <c r="C56" s="585" t="s">
        <v>210</v>
      </c>
      <c r="D56" s="591"/>
      <c r="E56" s="591">
        <v>3600</v>
      </c>
      <c r="F56" s="591">
        <v>3462</v>
      </c>
      <c r="G56" s="591"/>
      <c r="H56" s="591"/>
      <c r="I56" s="591"/>
      <c r="J56" s="591"/>
    </row>
    <row r="57" spans="1:9" ht="18" customHeight="1">
      <c r="A57" s="125"/>
      <c r="B57" s="126"/>
      <c r="C57" s="125"/>
      <c r="D57" s="147"/>
      <c r="E57" s="147"/>
      <c r="F57" s="127"/>
      <c r="G57" s="127"/>
      <c r="H57" s="5"/>
      <c r="I57" s="127"/>
    </row>
    <row r="58" ht="18" customHeight="1"/>
    <row r="59" ht="18" customHeight="1">
      <c r="E59" s="147"/>
    </row>
    <row r="60" ht="18" customHeight="1"/>
  </sheetData>
  <sheetProtection/>
  <mergeCells count="10">
    <mergeCell ref="A2:J2"/>
    <mergeCell ref="A3:J3"/>
    <mergeCell ref="A5:A6"/>
    <mergeCell ref="B5:B6"/>
    <mergeCell ref="C5:C6"/>
    <mergeCell ref="D5:D6"/>
    <mergeCell ref="E5:H5"/>
    <mergeCell ref="I5:I6"/>
    <mergeCell ref="J5:J6"/>
    <mergeCell ref="A4:J4"/>
  </mergeCells>
  <printOptions horizontalCentered="1"/>
  <pageMargins left="0.5905511811023623" right="0.1968503937007874" top="0.3" bottom="0.1968503937007874" header="0.56" footer="0.31496062992125984"/>
  <pageSetup firstPageNumber="1" useFirstPageNumber="1" fitToHeight="0" fitToWidth="1" horizontalDpi="600" verticalDpi="600" orientation="landscape" paperSize="9" scale="97" r:id="rId1"/>
  <headerFooter differentFirst="1">
    <oddFooter>&amp;R&amp;P</oddFooter>
  </headerFooter>
</worksheet>
</file>

<file path=xl/worksheets/sheet13.xml><?xml version="1.0" encoding="utf-8"?>
<worksheet xmlns="http://schemas.openxmlformats.org/spreadsheetml/2006/main" xmlns:r="http://schemas.openxmlformats.org/officeDocument/2006/relationships">
  <sheetPr>
    <tabColor rgb="FFFF0000"/>
    <pageSetUpPr fitToPage="1"/>
  </sheetPr>
  <dimension ref="A1:AN329"/>
  <sheetViews>
    <sheetView view="pageBreakPreview" zoomScale="85" zoomScaleNormal="70" zoomScaleSheetLayoutView="85" zoomScalePageLayoutView="0" workbookViewId="0" topLeftCell="A4">
      <pane xSplit="3" ySplit="6" topLeftCell="D10" activePane="bottomRight" state="frozen"/>
      <selection pane="topLeft" activeCell="A4" sqref="A4"/>
      <selection pane="topRight" activeCell="D4" sqref="D4"/>
      <selection pane="bottomLeft" activeCell="A10" sqref="A10"/>
      <selection pane="bottomRight" activeCell="A5" sqref="A5:J5"/>
    </sheetView>
  </sheetViews>
  <sheetFormatPr defaultColWidth="9.00390625" defaultRowHeight="15.75"/>
  <cols>
    <col min="1" max="1" width="5.50390625" style="97" customWidth="1"/>
    <col min="2" max="2" width="40.50390625" style="98" customWidth="1"/>
    <col min="3" max="4" width="11.375" style="99" customWidth="1"/>
    <col min="5" max="5" width="11.875" style="100" customWidth="1"/>
    <col min="6" max="6" width="10.75390625" style="100" hidden="1" customWidth="1"/>
    <col min="7" max="7" width="10.75390625" style="100" customWidth="1"/>
    <col min="8" max="8" width="13.50390625" style="100" customWidth="1"/>
    <col min="9" max="9" width="10.75390625" style="100" customWidth="1"/>
    <col min="10" max="10" width="11.50390625" style="100" customWidth="1"/>
    <col min="11" max="13" width="10.75390625" style="100" customWidth="1"/>
    <col min="14" max="17" width="10.00390625" style="100" customWidth="1"/>
    <col min="18" max="22" width="9.375" style="101" customWidth="1"/>
    <col min="23" max="23" width="10.25390625" style="101" customWidth="1"/>
    <col min="24" max="28" width="9.375" style="101" customWidth="1"/>
    <col min="29" max="29" width="10.00390625" style="101" customWidth="1"/>
    <col min="30" max="16384" width="9.00390625" style="101" customWidth="1"/>
  </cols>
  <sheetData>
    <row r="1" spans="1:40" s="96" customFormat="1" ht="19.5">
      <c r="A1" s="64"/>
      <c r="B1" s="6"/>
      <c r="C1" s="6"/>
      <c r="D1" s="6"/>
      <c r="E1" s="6"/>
      <c r="F1" s="6"/>
      <c r="G1" s="6"/>
      <c r="H1" s="6"/>
      <c r="I1" s="6"/>
      <c r="J1" s="1" t="s">
        <v>449</v>
      </c>
      <c r="K1" s="6"/>
      <c r="L1" s="6"/>
      <c r="N1" s="6"/>
      <c r="O1" s="128"/>
      <c r="P1" s="129"/>
      <c r="Q1" s="130"/>
      <c r="R1" s="130"/>
      <c r="S1" s="129"/>
      <c r="T1" s="129"/>
      <c r="U1" s="129"/>
      <c r="V1" s="129"/>
      <c r="W1" s="129"/>
      <c r="X1" s="129"/>
      <c r="Y1" s="129"/>
      <c r="Z1" s="129"/>
      <c r="AA1" s="6"/>
      <c r="AB1" s="6"/>
      <c r="AD1" s="6"/>
      <c r="AE1" s="6"/>
      <c r="AF1" s="6"/>
      <c r="AG1" s="6"/>
      <c r="AH1" s="6"/>
      <c r="AI1" s="6"/>
      <c r="AJ1" s="6"/>
      <c r="AK1" s="6"/>
      <c r="AL1" s="6"/>
      <c r="AM1" s="6"/>
      <c r="AN1" s="6"/>
    </row>
    <row r="2" spans="1:40" s="96" customFormat="1" ht="16.5" customHeight="1">
      <c r="A2" s="1456" t="s">
        <v>212</v>
      </c>
      <c r="B2" s="1456"/>
      <c r="C2" s="1456"/>
      <c r="D2" s="1456"/>
      <c r="E2" s="1456"/>
      <c r="F2" s="1456"/>
      <c r="G2" s="1456"/>
      <c r="H2" s="1456"/>
      <c r="I2" s="1456"/>
      <c r="J2" s="1456"/>
      <c r="K2" s="6"/>
      <c r="L2" s="6"/>
      <c r="N2" s="6"/>
      <c r="O2" s="128"/>
      <c r="P2" s="129"/>
      <c r="Q2" s="130"/>
      <c r="R2" s="130"/>
      <c r="S2" s="129"/>
      <c r="T2" s="129"/>
      <c r="U2" s="129"/>
      <c r="V2" s="129"/>
      <c r="W2" s="129"/>
      <c r="X2" s="129"/>
      <c r="Y2" s="129"/>
      <c r="Z2" s="129"/>
      <c r="AA2" s="6"/>
      <c r="AB2" s="6"/>
      <c r="AD2" s="6"/>
      <c r="AE2" s="6"/>
      <c r="AF2" s="6"/>
      <c r="AG2" s="6"/>
      <c r="AH2" s="6"/>
      <c r="AI2" s="6"/>
      <c r="AJ2" s="6"/>
      <c r="AK2" s="6"/>
      <c r="AL2" s="6"/>
      <c r="AM2" s="6"/>
      <c r="AN2" s="6"/>
    </row>
    <row r="3" spans="1:40" s="96" customFormat="1" ht="11.25" customHeight="1">
      <c r="A3" s="146"/>
      <c r="B3" s="146"/>
      <c r="C3" s="146"/>
      <c r="D3" s="146"/>
      <c r="E3" s="146"/>
      <c r="F3" s="146"/>
      <c r="G3" s="146"/>
      <c r="H3" s="146"/>
      <c r="I3" s="1456"/>
      <c r="J3" s="1456"/>
      <c r="K3" s="6"/>
      <c r="L3" s="6"/>
      <c r="N3" s="6"/>
      <c r="O3" s="128"/>
      <c r="P3" s="129"/>
      <c r="Q3" s="130"/>
      <c r="R3" s="130"/>
      <c r="S3" s="129"/>
      <c r="T3" s="129"/>
      <c r="U3" s="129"/>
      <c r="V3" s="129"/>
      <c r="W3" s="129"/>
      <c r="X3" s="129"/>
      <c r="Y3" s="129"/>
      <c r="Z3" s="129"/>
      <c r="AA3" s="6"/>
      <c r="AB3" s="6"/>
      <c r="AD3" s="6"/>
      <c r="AE3" s="6"/>
      <c r="AF3" s="6"/>
      <c r="AG3" s="6"/>
      <c r="AH3" s="6"/>
      <c r="AI3" s="6"/>
      <c r="AJ3" s="6"/>
      <c r="AK3" s="6"/>
      <c r="AL3" s="6"/>
      <c r="AM3" s="6"/>
      <c r="AN3" s="6"/>
    </row>
    <row r="4" spans="1:26" ht="19.5">
      <c r="A4" s="1457" t="s">
        <v>213</v>
      </c>
      <c r="B4" s="1457"/>
      <c r="C4" s="1457"/>
      <c r="D4" s="1457"/>
      <c r="E4" s="1457"/>
      <c r="F4" s="1457"/>
      <c r="G4" s="1457"/>
      <c r="H4" s="1457"/>
      <c r="I4" s="1457"/>
      <c r="J4" s="1457"/>
      <c r="K4" s="102"/>
      <c r="L4" s="102"/>
      <c r="M4" s="102"/>
      <c r="O4" s="131"/>
      <c r="P4" s="129"/>
      <c r="Q4" s="130"/>
      <c r="R4" s="130"/>
      <c r="S4" s="129"/>
      <c r="T4" s="129"/>
      <c r="U4" s="129"/>
      <c r="V4" s="129"/>
      <c r="W4" s="129"/>
      <c r="X4" s="129"/>
      <c r="Y4" s="129"/>
      <c r="Z4" s="129"/>
    </row>
    <row r="5" spans="1:26" ht="19.5">
      <c r="A5" s="1455" t="str">
        <f>'5. PTDN'!A4:J4</f>
        <v>(Kèm theo Báo cáo số         /BC-UBND ngày      /12/2019 của UBND tỉnh Điện Biên)</v>
      </c>
      <c r="B5" s="1455"/>
      <c r="C5" s="1455"/>
      <c r="D5" s="1455"/>
      <c r="E5" s="1455"/>
      <c r="F5" s="1455"/>
      <c r="G5" s="1455"/>
      <c r="H5" s="1455"/>
      <c r="I5" s="1455"/>
      <c r="J5" s="1455"/>
      <c r="K5" s="102"/>
      <c r="L5" s="102"/>
      <c r="M5" s="102"/>
      <c r="O5" s="131"/>
      <c r="P5" s="129"/>
      <c r="Q5" s="130"/>
      <c r="R5" s="130"/>
      <c r="S5" s="129"/>
      <c r="T5" s="129"/>
      <c r="U5" s="129"/>
      <c r="V5" s="129"/>
      <c r="W5" s="129"/>
      <c r="X5" s="129"/>
      <c r="Y5" s="129"/>
      <c r="Z5" s="129"/>
    </row>
    <row r="6" spans="1:14" ht="15.75" customHeight="1">
      <c r="A6" s="101"/>
      <c r="B6" s="101"/>
      <c r="C6" s="101"/>
      <c r="D6" s="101"/>
      <c r="E6" s="101"/>
      <c r="F6" s="101"/>
      <c r="G6" s="101"/>
      <c r="H6" s="101"/>
      <c r="I6" s="101"/>
      <c r="J6" s="101"/>
      <c r="K6" s="101"/>
      <c r="L6" s="101"/>
      <c r="M6" s="101"/>
      <c r="N6" s="101"/>
    </row>
    <row r="7" spans="1:17" s="134" customFormat="1" ht="19.5" customHeight="1">
      <c r="A7" s="1369" t="s">
        <v>214</v>
      </c>
      <c r="B7" s="1369" t="s">
        <v>3</v>
      </c>
      <c r="C7" s="1369" t="s">
        <v>215</v>
      </c>
      <c r="D7" s="1450" t="s">
        <v>1278</v>
      </c>
      <c r="E7" s="1370" t="s">
        <v>1279</v>
      </c>
      <c r="F7" s="1371"/>
      <c r="G7" s="1371"/>
      <c r="H7" s="1372"/>
      <c r="I7" s="1450" t="s">
        <v>1282</v>
      </c>
      <c r="J7" s="1450" t="s">
        <v>1283</v>
      </c>
      <c r="O7" s="135"/>
      <c r="P7" s="135"/>
      <c r="Q7" s="135"/>
    </row>
    <row r="8" spans="1:17" s="134" customFormat="1" ht="78.75" customHeight="1">
      <c r="A8" s="1369"/>
      <c r="B8" s="1369"/>
      <c r="C8" s="1369"/>
      <c r="D8" s="1451"/>
      <c r="E8" s="142" t="s">
        <v>5</v>
      </c>
      <c r="F8" s="142" t="s">
        <v>6</v>
      </c>
      <c r="G8" s="142" t="s">
        <v>7</v>
      </c>
      <c r="H8" s="142" t="s">
        <v>1280</v>
      </c>
      <c r="I8" s="1451"/>
      <c r="J8" s="1451"/>
      <c r="O8" s="135"/>
      <c r="P8" s="135"/>
      <c r="Q8" s="135"/>
    </row>
    <row r="9" spans="1:14" ht="19.5">
      <c r="A9" s="15">
        <v>1</v>
      </c>
      <c r="B9" s="15">
        <v>2</v>
      </c>
      <c r="C9" s="15">
        <v>3</v>
      </c>
      <c r="D9" s="132">
        <v>4</v>
      </c>
      <c r="E9" s="132">
        <v>5</v>
      </c>
      <c r="F9" s="132">
        <v>6</v>
      </c>
      <c r="G9" s="132">
        <v>6</v>
      </c>
      <c r="H9" s="152" t="s">
        <v>981</v>
      </c>
      <c r="I9" s="132">
        <v>8</v>
      </c>
      <c r="J9" s="152" t="s">
        <v>1064</v>
      </c>
      <c r="K9" s="101"/>
      <c r="L9" s="101"/>
      <c r="M9" s="101"/>
      <c r="N9" s="101"/>
    </row>
    <row r="10" spans="1:14" ht="24.75" customHeight="1">
      <c r="A10" s="10" t="s">
        <v>46</v>
      </c>
      <c r="B10" s="9" t="s">
        <v>216</v>
      </c>
      <c r="C10" s="10"/>
      <c r="D10" s="10"/>
      <c r="E10" s="9"/>
      <c r="F10" s="9"/>
      <c r="G10" s="9"/>
      <c r="H10" s="9"/>
      <c r="I10" s="9"/>
      <c r="J10" s="9"/>
      <c r="K10" s="101"/>
      <c r="L10" s="101"/>
      <c r="M10" s="101"/>
      <c r="N10" s="101"/>
    </row>
    <row r="11" spans="1:14" ht="24.75" customHeight="1">
      <c r="A11" s="15" t="s">
        <v>217</v>
      </c>
      <c r="B11" s="12" t="s">
        <v>218</v>
      </c>
      <c r="C11" s="15" t="s">
        <v>22</v>
      </c>
      <c r="D11" s="175"/>
      <c r="E11" s="187"/>
      <c r="F11" s="188">
        <v>0.13</v>
      </c>
      <c r="G11" s="188"/>
      <c r="H11" s="187"/>
      <c r="I11" s="187"/>
      <c r="J11" s="187"/>
      <c r="K11" s="101"/>
      <c r="L11" s="101"/>
      <c r="M11" s="101"/>
      <c r="N11" s="101"/>
    </row>
    <row r="12" spans="1:14" ht="24.75" customHeight="1">
      <c r="A12" s="15" t="s">
        <v>219</v>
      </c>
      <c r="B12" s="14" t="s">
        <v>220</v>
      </c>
      <c r="C12" s="16" t="s">
        <v>22</v>
      </c>
      <c r="D12" s="175"/>
      <c r="E12" s="187"/>
      <c r="F12" s="188">
        <v>0.12</v>
      </c>
      <c r="G12" s="188"/>
      <c r="H12" s="187"/>
      <c r="I12" s="187"/>
      <c r="J12" s="187"/>
      <c r="K12" s="101"/>
      <c r="L12" s="101"/>
      <c r="M12" s="101"/>
      <c r="N12" s="101"/>
    </row>
    <row r="13" spans="1:14" ht="24.75" customHeight="1">
      <c r="A13" s="15" t="s">
        <v>221</v>
      </c>
      <c r="B13" s="12" t="s">
        <v>222</v>
      </c>
      <c r="C13" s="15" t="s">
        <v>22</v>
      </c>
      <c r="D13" s="175"/>
      <c r="E13" s="187"/>
      <c r="F13" s="187"/>
      <c r="G13" s="187"/>
      <c r="H13" s="187"/>
      <c r="I13" s="187"/>
      <c r="J13" s="187"/>
      <c r="K13" s="101"/>
      <c r="L13" s="101"/>
      <c r="M13" s="101"/>
      <c r="N13" s="101"/>
    </row>
    <row r="14" spans="1:14" ht="24.75" customHeight="1">
      <c r="A14" s="15" t="s">
        <v>223</v>
      </c>
      <c r="B14" s="12" t="s">
        <v>224</v>
      </c>
      <c r="C14" s="15" t="s">
        <v>185</v>
      </c>
      <c r="D14" s="175"/>
      <c r="E14" s="187"/>
      <c r="F14" s="187"/>
      <c r="G14" s="187"/>
      <c r="H14" s="187"/>
      <c r="I14" s="187"/>
      <c r="J14" s="187"/>
      <c r="K14" s="101"/>
      <c r="L14" s="101"/>
      <c r="M14" s="101"/>
      <c r="N14" s="101"/>
    </row>
    <row r="15" spans="1:14" ht="24.75" customHeight="1">
      <c r="A15" s="15" t="s">
        <v>225</v>
      </c>
      <c r="B15" s="12" t="s">
        <v>226</v>
      </c>
      <c r="C15" s="15" t="s">
        <v>22</v>
      </c>
      <c r="D15" s="175"/>
      <c r="E15" s="187"/>
      <c r="F15" s="187"/>
      <c r="G15" s="187"/>
      <c r="H15" s="187"/>
      <c r="I15" s="187"/>
      <c r="J15" s="187"/>
      <c r="K15" s="101"/>
      <c r="L15" s="101"/>
      <c r="M15" s="101"/>
      <c r="N15" s="101"/>
    </row>
    <row r="16" spans="1:14" ht="24.75" customHeight="1">
      <c r="A16" s="10" t="s">
        <v>88</v>
      </c>
      <c r="B16" s="9" t="s">
        <v>227</v>
      </c>
      <c r="C16" s="10"/>
      <c r="D16" s="189"/>
      <c r="E16" s="189"/>
      <c r="F16" s="189"/>
      <c r="G16" s="189"/>
      <c r="H16" s="189"/>
      <c r="I16" s="189"/>
      <c r="J16" s="189"/>
      <c r="K16" s="101"/>
      <c r="L16" s="101"/>
      <c r="M16" s="101"/>
      <c r="N16" s="101"/>
    </row>
    <row r="17" spans="1:14" ht="24.75" customHeight="1">
      <c r="A17" s="10" t="s">
        <v>228</v>
      </c>
      <c r="B17" s="9" t="s">
        <v>229</v>
      </c>
      <c r="C17" s="10"/>
      <c r="D17" s="189"/>
      <c r="E17" s="187"/>
      <c r="F17" s="187"/>
      <c r="G17" s="187"/>
      <c r="H17" s="187"/>
      <c r="I17" s="187"/>
      <c r="J17" s="187"/>
      <c r="K17" s="101"/>
      <c r="L17" s="101"/>
      <c r="M17" s="101"/>
      <c r="N17" s="101"/>
    </row>
    <row r="18" spans="1:14" ht="24.75" customHeight="1">
      <c r="A18" s="15" t="s">
        <v>230</v>
      </c>
      <c r="B18" s="12" t="s">
        <v>231</v>
      </c>
      <c r="C18" s="15" t="s">
        <v>232</v>
      </c>
      <c r="D18" s="175"/>
      <c r="E18" s="187">
        <v>1</v>
      </c>
      <c r="F18" s="187"/>
      <c r="G18" s="187">
        <v>0</v>
      </c>
      <c r="H18" s="187">
        <v>0</v>
      </c>
      <c r="I18" s="187">
        <v>1</v>
      </c>
      <c r="J18" s="187"/>
      <c r="K18" s="101"/>
      <c r="L18" s="101"/>
      <c r="M18" s="101"/>
      <c r="N18" s="101"/>
    </row>
    <row r="19" spans="1:14" ht="24.75" customHeight="1">
      <c r="A19" s="15" t="s">
        <v>233</v>
      </c>
      <c r="B19" s="12" t="s">
        <v>234</v>
      </c>
      <c r="C19" s="15" t="s">
        <v>22</v>
      </c>
      <c r="D19" s="175"/>
      <c r="E19" s="187">
        <v>3</v>
      </c>
      <c r="F19" s="187"/>
      <c r="G19" s="187">
        <v>0</v>
      </c>
      <c r="H19" s="187">
        <v>0</v>
      </c>
      <c r="I19" s="187">
        <v>3</v>
      </c>
      <c r="J19" s="187"/>
      <c r="K19" s="101"/>
      <c r="L19" s="101"/>
      <c r="M19" s="101"/>
      <c r="N19" s="101"/>
    </row>
    <row r="20" spans="1:14" ht="24.75" customHeight="1">
      <c r="A20" s="10" t="s">
        <v>235</v>
      </c>
      <c r="B20" s="9" t="s">
        <v>236</v>
      </c>
      <c r="C20" s="10"/>
      <c r="D20" s="189"/>
      <c r="E20" s="187"/>
      <c r="F20" s="187"/>
      <c r="G20" s="187"/>
      <c r="H20" s="187"/>
      <c r="I20" s="187"/>
      <c r="J20" s="187"/>
      <c r="K20" s="101"/>
      <c r="L20" s="101"/>
      <c r="M20" s="101"/>
      <c r="N20" s="101"/>
    </row>
    <row r="21" spans="1:14" ht="24.75" customHeight="1">
      <c r="A21" s="15" t="s">
        <v>237</v>
      </c>
      <c r="B21" s="12" t="s">
        <v>238</v>
      </c>
      <c r="C21" s="15" t="s">
        <v>239</v>
      </c>
      <c r="D21" s="175"/>
      <c r="E21" s="187"/>
      <c r="F21" s="187"/>
      <c r="G21" s="187"/>
      <c r="H21" s="187"/>
      <c r="I21" s="187"/>
      <c r="J21" s="187"/>
      <c r="K21" s="101"/>
      <c r="L21" s="101"/>
      <c r="M21" s="101"/>
      <c r="N21" s="101"/>
    </row>
    <row r="22" spans="1:14" ht="24.75" customHeight="1">
      <c r="A22" s="15" t="s">
        <v>240</v>
      </c>
      <c r="B22" s="12" t="s">
        <v>241</v>
      </c>
      <c r="C22" s="15" t="s">
        <v>22</v>
      </c>
      <c r="D22" s="175"/>
      <c r="E22" s="187"/>
      <c r="F22" s="187"/>
      <c r="G22" s="187"/>
      <c r="H22" s="187"/>
      <c r="I22" s="187"/>
      <c r="J22" s="187"/>
      <c r="K22" s="101"/>
      <c r="L22" s="101"/>
      <c r="M22" s="101"/>
      <c r="N22" s="101"/>
    </row>
    <row r="23" spans="1:14" ht="24.75" customHeight="1">
      <c r="A23" s="15" t="s">
        <v>242</v>
      </c>
      <c r="B23" s="12" t="s">
        <v>243</v>
      </c>
      <c r="C23" s="15" t="s">
        <v>239</v>
      </c>
      <c r="D23" s="175"/>
      <c r="E23" s="187"/>
      <c r="F23" s="187"/>
      <c r="G23" s="187"/>
      <c r="H23" s="187"/>
      <c r="I23" s="187"/>
      <c r="J23" s="187"/>
      <c r="K23" s="101"/>
      <c r="L23" s="101"/>
      <c r="M23" s="101"/>
      <c r="N23" s="101"/>
    </row>
    <row r="24" spans="1:14" ht="24.75" customHeight="1">
      <c r="A24" s="15" t="s">
        <v>244</v>
      </c>
      <c r="B24" s="12" t="s">
        <v>245</v>
      </c>
      <c r="C24" s="15" t="s">
        <v>22</v>
      </c>
      <c r="D24" s="175"/>
      <c r="E24" s="187"/>
      <c r="F24" s="187"/>
      <c r="G24" s="187"/>
      <c r="H24" s="187"/>
      <c r="I24" s="187"/>
      <c r="J24" s="187"/>
      <c r="K24" s="101"/>
      <c r="L24" s="101"/>
      <c r="M24" s="101"/>
      <c r="N24" s="101"/>
    </row>
    <row r="25" spans="1:14" ht="24.75" customHeight="1">
      <c r="A25" s="10" t="s">
        <v>246</v>
      </c>
      <c r="B25" s="9" t="s">
        <v>247</v>
      </c>
      <c r="C25" s="10" t="s">
        <v>22</v>
      </c>
      <c r="D25" s="189"/>
      <c r="E25" s="190"/>
      <c r="F25" s="190"/>
      <c r="G25" s="190"/>
      <c r="H25" s="190"/>
      <c r="I25" s="190"/>
      <c r="J25" s="190"/>
      <c r="K25" s="101"/>
      <c r="L25" s="101"/>
      <c r="M25" s="101"/>
      <c r="N25" s="101"/>
    </row>
    <row r="26" spans="1:14" ht="24.75" customHeight="1">
      <c r="A26" s="114" t="s">
        <v>428</v>
      </c>
      <c r="B26" s="133" t="s">
        <v>425</v>
      </c>
      <c r="C26" s="114" t="s">
        <v>239</v>
      </c>
      <c r="D26" s="191"/>
      <c r="E26" s="173"/>
      <c r="F26" s="173"/>
      <c r="G26" s="173"/>
      <c r="H26" s="173"/>
      <c r="I26" s="173"/>
      <c r="J26" s="173"/>
      <c r="K26" s="101"/>
      <c r="L26" s="101"/>
      <c r="M26" s="101"/>
      <c r="N26" s="101"/>
    </row>
    <row r="27" spans="1:14" ht="24.75" customHeight="1">
      <c r="A27" s="114" t="s">
        <v>429</v>
      </c>
      <c r="B27" s="133" t="s">
        <v>426</v>
      </c>
      <c r="C27" s="114" t="s">
        <v>22</v>
      </c>
      <c r="D27" s="191"/>
      <c r="E27" s="173"/>
      <c r="F27" s="173"/>
      <c r="G27" s="173"/>
      <c r="H27" s="173"/>
      <c r="I27" s="173"/>
      <c r="J27" s="173"/>
      <c r="K27" s="101"/>
      <c r="L27" s="101"/>
      <c r="M27" s="101"/>
      <c r="N27" s="101"/>
    </row>
    <row r="28" spans="1:17" s="134" customFormat="1" ht="24.75" customHeight="1">
      <c r="A28" s="10" t="s">
        <v>430</v>
      </c>
      <c r="B28" s="9" t="s">
        <v>431</v>
      </c>
      <c r="C28" s="10" t="s">
        <v>22</v>
      </c>
      <c r="D28" s="189"/>
      <c r="E28" s="190"/>
      <c r="F28" s="190"/>
      <c r="G28" s="190"/>
      <c r="H28" s="190"/>
      <c r="I28" s="190"/>
      <c r="J28" s="190"/>
      <c r="O28" s="135"/>
      <c r="P28" s="135"/>
      <c r="Q28" s="135"/>
    </row>
    <row r="29" spans="1:14" ht="24.75" customHeight="1">
      <c r="A29" s="10" t="s">
        <v>98</v>
      </c>
      <c r="B29" s="9" t="s">
        <v>248</v>
      </c>
      <c r="C29" s="10"/>
      <c r="D29" s="189"/>
      <c r="E29" s="189"/>
      <c r="F29" s="189"/>
      <c r="G29" s="189"/>
      <c r="H29" s="189"/>
      <c r="I29" s="189"/>
      <c r="J29" s="189"/>
      <c r="K29" s="101"/>
      <c r="L29" s="101"/>
      <c r="M29" s="101"/>
      <c r="N29" s="101"/>
    </row>
    <row r="30" spans="1:14" ht="24.75" customHeight="1">
      <c r="A30" s="15" t="s">
        <v>249</v>
      </c>
      <c r="B30" s="12" t="s">
        <v>231</v>
      </c>
      <c r="C30" s="15" t="s">
        <v>232</v>
      </c>
      <c r="D30" s="175"/>
      <c r="E30" s="187"/>
      <c r="F30" s="189"/>
      <c r="G30" s="189"/>
      <c r="H30" s="189"/>
      <c r="I30" s="189"/>
      <c r="J30" s="189"/>
      <c r="K30" s="101"/>
      <c r="L30" s="101"/>
      <c r="M30" s="101"/>
      <c r="N30" s="101"/>
    </row>
    <row r="31" spans="1:14" ht="24.75" customHeight="1">
      <c r="A31" s="15" t="s">
        <v>250</v>
      </c>
      <c r="B31" s="12" t="s">
        <v>251</v>
      </c>
      <c r="C31" s="15" t="s">
        <v>22</v>
      </c>
      <c r="D31" s="175"/>
      <c r="E31" s="187"/>
      <c r="F31" s="189"/>
      <c r="G31" s="189"/>
      <c r="H31" s="189"/>
      <c r="I31" s="189"/>
      <c r="J31" s="189"/>
      <c r="K31" s="101"/>
      <c r="L31" s="101"/>
      <c r="M31" s="101"/>
      <c r="N31" s="101"/>
    </row>
    <row r="32" spans="1:14" ht="24.75" customHeight="1">
      <c r="A32" s="10" t="s">
        <v>101</v>
      </c>
      <c r="B32" s="9" t="s">
        <v>252</v>
      </c>
      <c r="C32" s="10"/>
      <c r="D32" s="189"/>
      <c r="E32" s="189"/>
      <c r="F32" s="189"/>
      <c r="G32" s="189"/>
      <c r="H32" s="189"/>
      <c r="I32" s="189"/>
      <c r="J32" s="189"/>
      <c r="K32" s="101"/>
      <c r="L32" s="101"/>
      <c r="M32" s="101"/>
      <c r="N32" s="101"/>
    </row>
    <row r="33" spans="1:14" ht="24.75" customHeight="1">
      <c r="A33" s="15" t="s">
        <v>253</v>
      </c>
      <c r="B33" s="12" t="s">
        <v>254</v>
      </c>
      <c r="C33" s="15" t="s">
        <v>232</v>
      </c>
      <c r="D33" s="175"/>
      <c r="E33" s="187">
        <v>1</v>
      </c>
      <c r="F33" s="189"/>
      <c r="G33" s="189"/>
      <c r="H33" s="189"/>
      <c r="I33" s="189"/>
      <c r="J33" s="189"/>
      <c r="K33" s="101"/>
      <c r="L33" s="101"/>
      <c r="M33" s="101"/>
      <c r="N33" s="101"/>
    </row>
    <row r="34" spans="1:14" ht="24.75" customHeight="1">
      <c r="A34" s="15" t="s">
        <v>255</v>
      </c>
      <c r="B34" s="12" t="s">
        <v>256</v>
      </c>
      <c r="C34" s="15" t="s">
        <v>22</v>
      </c>
      <c r="D34" s="175"/>
      <c r="E34" s="187">
        <v>3</v>
      </c>
      <c r="F34" s="189"/>
      <c r="G34" s="189"/>
      <c r="H34" s="189"/>
      <c r="I34" s="189"/>
      <c r="J34" s="189"/>
      <c r="K34" s="101"/>
      <c r="L34" s="101"/>
      <c r="M34" s="101"/>
      <c r="N34" s="101"/>
    </row>
    <row r="35" spans="1:14" ht="24.75" customHeight="1">
      <c r="A35" s="10"/>
      <c r="B35" s="9" t="s">
        <v>257</v>
      </c>
      <c r="C35" s="10"/>
      <c r="D35" s="189"/>
      <c r="E35" s="187"/>
      <c r="F35" s="189"/>
      <c r="G35" s="189"/>
      <c r="H35" s="189"/>
      <c r="I35" s="189"/>
      <c r="J35" s="189"/>
      <c r="K35" s="101"/>
      <c r="L35" s="101"/>
      <c r="M35" s="101"/>
      <c r="N35" s="101"/>
    </row>
    <row r="36" spans="1:14" ht="24.75" customHeight="1">
      <c r="A36" s="15" t="s">
        <v>258</v>
      </c>
      <c r="B36" s="12" t="s">
        <v>231</v>
      </c>
      <c r="C36" s="15" t="s">
        <v>232</v>
      </c>
      <c r="D36" s="175"/>
      <c r="E36" s="187">
        <v>1</v>
      </c>
      <c r="F36" s="189"/>
      <c r="G36" s="189"/>
      <c r="H36" s="189"/>
      <c r="I36" s="189"/>
      <c r="J36" s="189"/>
      <c r="K36" s="101"/>
      <c r="L36" s="101"/>
      <c r="M36" s="101"/>
      <c r="N36" s="101"/>
    </row>
    <row r="37" spans="1:14" ht="24.75" customHeight="1">
      <c r="A37" s="15" t="s">
        <v>259</v>
      </c>
      <c r="B37" s="12" t="s">
        <v>251</v>
      </c>
      <c r="C37" s="15" t="s">
        <v>22</v>
      </c>
      <c r="D37" s="175"/>
      <c r="E37" s="187">
        <v>3</v>
      </c>
      <c r="F37" s="189"/>
      <c r="G37" s="189"/>
      <c r="H37" s="189"/>
      <c r="I37" s="189"/>
      <c r="J37" s="189"/>
      <c r="K37" s="101"/>
      <c r="L37" s="101"/>
      <c r="M37" s="101"/>
      <c r="N37" s="101"/>
    </row>
    <row r="38" spans="1:14" ht="24.75" customHeight="1">
      <c r="A38" s="10"/>
      <c r="B38" s="9" t="s">
        <v>260</v>
      </c>
      <c r="C38" s="10"/>
      <c r="D38" s="189"/>
      <c r="E38" s="187"/>
      <c r="F38" s="189"/>
      <c r="G38" s="189"/>
      <c r="H38" s="189"/>
      <c r="I38" s="189"/>
      <c r="J38" s="189"/>
      <c r="K38" s="101"/>
      <c r="L38" s="101"/>
      <c r="M38" s="101"/>
      <c r="N38" s="101"/>
    </row>
    <row r="39" spans="1:14" ht="24.75" customHeight="1">
      <c r="A39" s="15" t="s">
        <v>261</v>
      </c>
      <c r="B39" s="12" t="s">
        <v>231</v>
      </c>
      <c r="C39" s="15" t="s">
        <v>232</v>
      </c>
      <c r="D39" s="175"/>
      <c r="E39" s="187">
        <v>0</v>
      </c>
      <c r="F39" s="189"/>
      <c r="G39" s="189"/>
      <c r="H39" s="189"/>
      <c r="I39" s="189"/>
      <c r="J39" s="189"/>
      <c r="K39" s="101"/>
      <c r="L39" s="101"/>
      <c r="M39" s="101"/>
      <c r="N39" s="101"/>
    </row>
    <row r="40" spans="1:14" ht="24.75" customHeight="1" thickBot="1">
      <c r="A40" s="136" t="s">
        <v>262</v>
      </c>
      <c r="B40" s="137" t="s">
        <v>263</v>
      </c>
      <c r="C40" s="136" t="s">
        <v>22</v>
      </c>
      <c r="D40" s="192"/>
      <c r="E40" s="193">
        <v>0</v>
      </c>
      <c r="F40" s="194"/>
      <c r="G40" s="194"/>
      <c r="H40" s="194"/>
      <c r="I40" s="194"/>
      <c r="J40" s="194"/>
      <c r="K40" s="101"/>
      <c r="L40" s="101"/>
      <c r="M40" s="101"/>
      <c r="N40" s="101"/>
    </row>
    <row r="41" spans="1:14" ht="20.25" thickTop="1">
      <c r="A41" s="6"/>
      <c r="B41" s="6"/>
      <c r="C41" s="3"/>
      <c r="D41" s="3"/>
      <c r="E41" s="6"/>
      <c r="F41" s="6"/>
      <c r="G41" s="6"/>
      <c r="H41" s="6"/>
      <c r="I41" s="6"/>
      <c r="J41" s="6"/>
      <c r="K41" s="101"/>
      <c r="L41" s="101"/>
      <c r="M41" s="101"/>
      <c r="N41" s="101"/>
    </row>
    <row r="42" spans="1:26" ht="19.5">
      <c r="A42" s="4" t="s">
        <v>264</v>
      </c>
      <c r="B42" s="6"/>
      <c r="C42" s="3"/>
      <c r="D42" s="3"/>
      <c r="E42" s="6"/>
      <c r="F42" s="6"/>
      <c r="G42" s="6"/>
      <c r="H42" s="6"/>
      <c r="I42" s="6"/>
      <c r="J42" s="6"/>
      <c r="K42" s="101"/>
      <c r="L42" s="101"/>
      <c r="M42" s="101"/>
      <c r="N42" s="101"/>
      <c r="O42" s="138"/>
      <c r="P42" s="129"/>
      <c r="Q42" s="130"/>
      <c r="R42" s="130"/>
      <c r="S42" s="129"/>
      <c r="T42" s="129"/>
      <c r="U42" s="129"/>
      <c r="V42" s="129"/>
      <c r="W42" s="129"/>
      <c r="X42" s="129"/>
      <c r="Y42" s="129"/>
      <c r="Z42" s="129"/>
    </row>
    <row r="43" spans="1:17" ht="19.5">
      <c r="A43" s="139"/>
      <c r="B43" s="6" t="s">
        <v>265</v>
      </c>
      <c r="C43" s="3"/>
      <c r="D43" s="3"/>
      <c r="E43" s="6"/>
      <c r="F43" s="6"/>
      <c r="G43" s="6"/>
      <c r="H43" s="6"/>
      <c r="I43" s="6"/>
      <c r="J43" s="6"/>
      <c r="K43" s="101"/>
      <c r="L43" s="101"/>
      <c r="M43" s="101"/>
      <c r="N43" s="101"/>
      <c r="O43" s="101"/>
      <c r="P43" s="101"/>
      <c r="Q43" s="101"/>
    </row>
    <row r="44" spans="1:17" ht="19.5">
      <c r="A44" s="6"/>
      <c r="B44" s="6" t="s">
        <v>266</v>
      </c>
      <c r="C44" s="3"/>
      <c r="D44" s="3"/>
      <c r="E44" s="6"/>
      <c r="F44" s="6"/>
      <c r="G44" s="6"/>
      <c r="H44" s="6"/>
      <c r="I44" s="6"/>
      <c r="J44" s="6"/>
      <c r="K44" s="101"/>
      <c r="L44" s="101"/>
      <c r="M44" s="101"/>
      <c r="N44" s="101"/>
      <c r="O44" s="101"/>
      <c r="P44" s="101"/>
      <c r="Q44" s="101"/>
    </row>
    <row r="45" spans="1:17" ht="19.5">
      <c r="A45" s="6"/>
      <c r="B45" s="122" t="s">
        <v>427</v>
      </c>
      <c r="C45" s="3"/>
      <c r="D45" s="3"/>
      <c r="E45" s="6"/>
      <c r="F45" s="6"/>
      <c r="G45" s="6"/>
      <c r="H45" s="6"/>
      <c r="I45" s="6"/>
      <c r="J45" s="6"/>
      <c r="K45" s="101"/>
      <c r="L45" s="101"/>
      <c r="M45" s="101"/>
      <c r="N45" s="101"/>
      <c r="O45" s="101"/>
      <c r="P45" s="101"/>
      <c r="Q45" s="101"/>
    </row>
    <row r="46" spans="1:17" ht="19.5">
      <c r="A46" s="6"/>
      <c r="B46" s="6" t="s">
        <v>267</v>
      </c>
      <c r="C46" s="3"/>
      <c r="D46" s="3"/>
      <c r="E46" s="6"/>
      <c r="F46" s="6"/>
      <c r="G46" s="6"/>
      <c r="H46" s="6"/>
      <c r="I46" s="6"/>
      <c r="J46" s="6"/>
      <c r="K46" s="101"/>
      <c r="L46" s="101"/>
      <c r="M46" s="101"/>
      <c r="N46" s="101"/>
      <c r="O46" s="101"/>
      <c r="P46" s="101"/>
      <c r="Q46" s="101"/>
    </row>
    <row r="47" spans="1:17" ht="19.5">
      <c r="A47" s="101"/>
      <c r="B47" s="101"/>
      <c r="C47" s="101"/>
      <c r="D47" s="101"/>
      <c r="E47" s="101"/>
      <c r="F47" s="101"/>
      <c r="G47" s="101"/>
      <c r="H47" s="101"/>
      <c r="I47" s="101"/>
      <c r="J47" s="101"/>
      <c r="K47" s="101"/>
      <c r="L47" s="101"/>
      <c r="M47" s="101"/>
      <c r="N47" s="101"/>
      <c r="O47" s="101"/>
      <c r="P47" s="101"/>
      <c r="Q47" s="101"/>
    </row>
    <row r="48" spans="1:17" ht="19.5">
      <c r="A48" s="101"/>
      <c r="B48" s="101"/>
      <c r="C48" s="101"/>
      <c r="D48" s="101"/>
      <c r="E48" s="101"/>
      <c r="F48" s="101"/>
      <c r="G48" s="101"/>
      <c r="H48" s="101"/>
      <c r="I48" s="101"/>
      <c r="J48" s="101"/>
      <c r="K48" s="101"/>
      <c r="L48" s="101"/>
      <c r="M48" s="101"/>
      <c r="N48" s="101"/>
      <c r="O48" s="101"/>
      <c r="P48" s="101"/>
      <c r="Q48" s="101"/>
    </row>
    <row r="49" spans="1:17" ht="19.5">
      <c r="A49" s="101"/>
      <c r="B49" s="101"/>
      <c r="C49" s="101"/>
      <c r="D49" s="101"/>
      <c r="E49" s="101"/>
      <c r="F49" s="101"/>
      <c r="G49" s="101"/>
      <c r="H49" s="101"/>
      <c r="I49" s="101"/>
      <c r="J49" s="101"/>
      <c r="K49" s="101"/>
      <c r="L49" s="101"/>
      <c r="M49" s="101"/>
      <c r="N49" s="101"/>
      <c r="O49" s="101"/>
      <c r="P49" s="101"/>
      <c r="Q49" s="101"/>
    </row>
    <row r="50" spans="1:17" ht="19.5">
      <c r="A50" s="101"/>
      <c r="B50" s="101"/>
      <c r="C50" s="101"/>
      <c r="D50" s="101"/>
      <c r="E50" s="101"/>
      <c r="F50" s="101"/>
      <c r="G50" s="101"/>
      <c r="H50" s="101"/>
      <c r="I50" s="101"/>
      <c r="J50" s="101"/>
      <c r="K50" s="101"/>
      <c r="L50" s="101"/>
      <c r="M50" s="101"/>
      <c r="N50" s="101"/>
      <c r="O50" s="101"/>
      <c r="P50" s="101"/>
      <c r="Q50" s="101"/>
    </row>
    <row r="51" spans="1:17" ht="19.5">
      <c r="A51" s="101"/>
      <c r="B51" s="101"/>
      <c r="C51" s="101"/>
      <c r="D51" s="101"/>
      <c r="E51" s="101"/>
      <c r="F51" s="101"/>
      <c r="G51" s="101"/>
      <c r="H51" s="101"/>
      <c r="I51" s="101"/>
      <c r="J51" s="101"/>
      <c r="K51" s="101"/>
      <c r="L51" s="101"/>
      <c r="M51" s="101"/>
      <c r="N51" s="101"/>
      <c r="O51" s="101"/>
      <c r="P51" s="101"/>
      <c r="Q51" s="101"/>
    </row>
    <row r="52" spans="1:17" ht="19.5">
      <c r="A52" s="101"/>
      <c r="B52" s="101"/>
      <c r="C52" s="101"/>
      <c r="D52" s="101"/>
      <c r="E52" s="101"/>
      <c r="F52" s="101"/>
      <c r="G52" s="101"/>
      <c r="H52" s="101"/>
      <c r="I52" s="101"/>
      <c r="J52" s="101"/>
      <c r="K52" s="101"/>
      <c r="L52" s="101"/>
      <c r="M52" s="101"/>
      <c r="N52" s="101"/>
      <c r="O52" s="101"/>
      <c r="P52" s="101"/>
      <c r="Q52" s="101"/>
    </row>
    <row r="53" spans="1:17" ht="19.5">
      <c r="A53" s="101"/>
      <c r="B53" s="101"/>
      <c r="C53" s="101"/>
      <c r="D53" s="101"/>
      <c r="E53" s="101"/>
      <c r="F53" s="101"/>
      <c r="G53" s="101"/>
      <c r="H53" s="101"/>
      <c r="I53" s="101"/>
      <c r="J53" s="101"/>
      <c r="K53" s="101"/>
      <c r="L53" s="101"/>
      <c r="M53" s="101"/>
      <c r="N53" s="101"/>
      <c r="O53" s="101"/>
      <c r="P53" s="101"/>
      <c r="Q53" s="101"/>
    </row>
    <row r="54" spans="1:17" ht="19.5">
      <c r="A54" s="101"/>
      <c r="B54" s="101"/>
      <c r="C54" s="101"/>
      <c r="D54" s="101"/>
      <c r="E54" s="101"/>
      <c r="F54" s="101"/>
      <c r="G54" s="101"/>
      <c r="H54" s="101"/>
      <c r="I54" s="101"/>
      <c r="J54" s="101"/>
      <c r="K54" s="101"/>
      <c r="L54" s="101"/>
      <c r="M54" s="101"/>
      <c r="N54" s="101"/>
      <c r="O54" s="101"/>
      <c r="P54" s="101"/>
      <c r="Q54" s="101"/>
    </row>
    <row r="55" spans="1:17" ht="19.5">
      <c r="A55" s="101"/>
      <c r="B55" s="101"/>
      <c r="C55" s="101"/>
      <c r="D55" s="101"/>
      <c r="E55" s="101"/>
      <c r="F55" s="101"/>
      <c r="G55" s="101"/>
      <c r="H55" s="101"/>
      <c r="I55" s="101"/>
      <c r="J55" s="101"/>
      <c r="K55" s="101"/>
      <c r="L55" s="101"/>
      <c r="M55" s="101"/>
      <c r="N55" s="101"/>
      <c r="O55" s="101"/>
      <c r="P55" s="101"/>
      <c r="Q55" s="101"/>
    </row>
    <row r="56" spans="1:17" ht="19.5">
      <c r="A56" s="101"/>
      <c r="B56" s="101"/>
      <c r="C56" s="101"/>
      <c r="D56" s="101"/>
      <c r="E56" s="101"/>
      <c r="F56" s="101"/>
      <c r="G56" s="101"/>
      <c r="H56" s="101"/>
      <c r="I56" s="101"/>
      <c r="J56" s="101"/>
      <c r="K56" s="101"/>
      <c r="L56" s="101"/>
      <c r="M56" s="101"/>
      <c r="N56" s="101"/>
      <c r="O56" s="101"/>
      <c r="P56" s="101"/>
      <c r="Q56" s="101"/>
    </row>
    <row r="57" spans="1:17" ht="19.5">
      <c r="A57" s="101"/>
      <c r="B57" s="101"/>
      <c r="C57" s="101"/>
      <c r="D57" s="101"/>
      <c r="E57" s="101"/>
      <c r="F57" s="101"/>
      <c r="G57" s="101"/>
      <c r="H57" s="101"/>
      <c r="I57" s="101"/>
      <c r="J57" s="101"/>
      <c r="K57" s="101"/>
      <c r="L57" s="101"/>
      <c r="M57" s="101"/>
      <c r="N57" s="101"/>
      <c r="O57" s="101"/>
      <c r="P57" s="101"/>
      <c r="Q57" s="101"/>
    </row>
    <row r="58" spans="1:17" ht="19.5">
      <c r="A58" s="101"/>
      <c r="B58" s="101"/>
      <c r="C58" s="101"/>
      <c r="D58" s="101"/>
      <c r="E58" s="101"/>
      <c r="F58" s="101"/>
      <c r="G58" s="101"/>
      <c r="H58" s="101"/>
      <c r="I58" s="101"/>
      <c r="J58" s="101"/>
      <c r="K58" s="101"/>
      <c r="L58" s="101"/>
      <c r="M58" s="101"/>
      <c r="N58" s="101"/>
      <c r="O58" s="101"/>
      <c r="P58" s="101"/>
      <c r="Q58" s="101"/>
    </row>
    <row r="59" spans="1:17" ht="19.5">
      <c r="A59" s="101"/>
      <c r="B59" s="101"/>
      <c r="C59" s="101"/>
      <c r="D59" s="101"/>
      <c r="E59" s="101"/>
      <c r="F59" s="101"/>
      <c r="G59" s="101"/>
      <c r="H59" s="101"/>
      <c r="I59" s="101"/>
      <c r="J59" s="101"/>
      <c r="K59" s="101"/>
      <c r="L59" s="101"/>
      <c r="M59" s="101"/>
      <c r="N59" s="101"/>
      <c r="O59" s="101"/>
      <c r="P59" s="101"/>
      <c r="Q59" s="101"/>
    </row>
    <row r="60" spans="1:17" ht="19.5">
      <c r="A60" s="101"/>
      <c r="B60" s="101"/>
      <c r="C60" s="101"/>
      <c r="D60" s="101"/>
      <c r="E60" s="101"/>
      <c r="F60" s="101"/>
      <c r="G60" s="101"/>
      <c r="H60" s="101"/>
      <c r="I60" s="101"/>
      <c r="J60" s="101"/>
      <c r="K60" s="101"/>
      <c r="L60" s="101"/>
      <c r="M60" s="101"/>
      <c r="N60" s="101"/>
      <c r="O60" s="101"/>
      <c r="P60" s="101"/>
      <c r="Q60" s="101"/>
    </row>
    <row r="61" spans="1:17" ht="19.5">
      <c r="A61" s="101"/>
      <c r="B61" s="101"/>
      <c r="C61" s="101"/>
      <c r="D61" s="101"/>
      <c r="E61" s="101"/>
      <c r="F61" s="101"/>
      <c r="G61" s="101"/>
      <c r="H61" s="101"/>
      <c r="I61" s="101"/>
      <c r="J61" s="101"/>
      <c r="K61" s="101"/>
      <c r="L61" s="101"/>
      <c r="M61" s="101"/>
      <c r="N61" s="101"/>
      <c r="O61" s="101"/>
      <c r="P61" s="101"/>
      <c r="Q61" s="101"/>
    </row>
    <row r="62" spans="1:17" ht="19.5">
      <c r="A62" s="101"/>
      <c r="B62" s="101"/>
      <c r="C62" s="101"/>
      <c r="D62" s="101"/>
      <c r="E62" s="101"/>
      <c r="F62" s="101"/>
      <c r="G62" s="101"/>
      <c r="H62" s="101"/>
      <c r="I62" s="101"/>
      <c r="J62" s="101"/>
      <c r="K62" s="101"/>
      <c r="L62" s="101"/>
      <c r="M62" s="101"/>
      <c r="N62" s="101"/>
      <c r="O62" s="101"/>
      <c r="P62" s="101"/>
      <c r="Q62" s="101"/>
    </row>
    <row r="63" spans="1:17" ht="19.5">
      <c r="A63" s="101"/>
      <c r="B63" s="101"/>
      <c r="C63" s="101"/>
      <c r="D63" s="101"/>
      <c r="E63" s="101"/>
      <c r="F63" s="101"/>
      <c r="G63" s="101"/>
      <c r="H63" s="101"/>
      <c r="I63" s="101"/>
      <c r="J63" s="101"/>
      <c r="K63" s="101"/>
      <c r="L63" s="101"/>
      <c r="M63" s="101"/>
      <c r="N63" s="101"/>
      <c r="O63" s="101"/>
      <c r="P63" s="101"/>
      <c r="Q63" s="101"/>
    </row>
    <row r="64" spans="1:17" ht="19.5">
      <c r="A64" s="101"/>
      <c r="B64" s="101"/>
      <c r="C64" s="101"/>
      <c r="D64" s="101"/>
      <c r="E64" s="101"/>
      <c r="F64" s="101"/>
      <c r="G64" s="101"/>
      <c r="H64" s="101"/>
      <c r="I64" s="101"/>
      <c r="J64" s="101"/>
      <c r="K64" s="101"/>
      <c r="L64" s="101"/>
      <c r="M64" s="101"/>
      <c r="N64" s="101"/>
      <c r="O64" s="101"/>
      <c r="P64" s="101"/>
      <c r="Q64" s="101"/>
    </row>
    <row r="65" spans="1:17" ht="19.5">
      <c r="A65" s="101"/>
      <c r="B65" s="101"/>
      <c r="C65" s="101"/>
      <c r="D65" s="101"/>
      <c r="E65" s="101"/>
      <c r="F65" s="101"/>
      <c r="G65" s="101"/>
      <c r="H65" s="101"/>
      <c r="I65" s="101"/>
      <c r="J65" s="101"/>
      <c r="K65" s="101"/>
      <c r="L65" s="101"/>
      <c r="M65" s="101"/>
      <c r="N65" s="101"/>
      <c r="O65" s="101"/>
      <c r="P65" s="101"/>
      <c r="Q65" s="101"/>
    </row>
    <row r="66" spans="1:17" ht="19.5">
      <c r="A66" s="101"/>
      <c r="B66" s="101"/>
      <c r="C66" s="101"/>
      <c r="D66" s="101"/>
      <c r="E66" s="101"/>
      <c r="F66" s="101"/>
      <c r="G66" s="101"/>
      <c r="H66" s="101"/>
      <c r="I66" s="101"/>
      <c r="J66" s="101"/>
      <c r="K66" s="101"/>
      <c r="L66" s="101"/>
      <c r="M66" s="101"/>
      <c r="N66" s="101"/>
      <c r="O66" s="101"/>
      <c r="P66" s="101"/>
      <c r="Q66" s="101"/>
    </row>
    <row r="67" spans="1:17" ht="19.5">
      <c r="A67" s="101"/>
      <c r="B67" s="101"/>
      <c r="C67" s="101"/>
      <c r="D67" s="101"/>
      <c r="E67" s="101"/>
      <c r="F67" s="101"/>
      <c r="G67" s="101"/>
      <c r="H67" s="101"/>
      <c r="I67" s="101"/>
      <c r="J67" s="101"/>
      <c r="K67" s="101"/>
      <c r="L67" s="101"/>
      <c r="M67" s="101"/>
      <c r="N67" s="101"/>
      <c r="O67" s="101"/>
      <c r="P67" s="101"/>
      <c r="Q67" s="101"/>
    </row>
    <row r="68" spans="1:17" ht="19.5">
      <c r="A68" s="101"/>
      <c r="B68" s="101"/>
      <c r="C68" s="101"/>
      <c r="D68" s="101"/>
      <c r="E68" s="101"/>
      <c r="F68" s="101"/>
      <c r="G68" s="101"/>
      <c r="H68" s="101"/>
      <c r="I68" s="101"/>
      <c r="J68" s="101"/>
      <c r="K68" s="101"/>
      <c r="L68" s="101"/>
      <c r="M68" s="101"/>
      <c r="N68" s="101"/>
      <c r="O68" s="101"/>
      <c r="P68" s="101"/>
      <c r="Q68" s="101"/>
    </row>
    <row r="69" spans="1:17" ht="19.5">
      <c r="A69" s="101"/>
      <c r="B69" s="101"/>
      <c r="C69" s="101"/>
      <c r="D69" s="101"/>
      <c r="E69" s="101"/>
      <c r="F69" s="101"/>
      <c r="G69" s="101"/>
      <c r="H69" s="101"/>
      <c r="I69" s="101"/>
      <c r="J69" s="101"/>
      <c r="K69" s="101"/>
      <c r="L69" s="101"/>
      <c r="M69" s="101"/>
      <c r="N69" s="101"/>
      <c r="O69" s="101"/>
      <c r="P69" s="101"/>
      <c r="Q69" s="101"/>
    </row>
    <row r="70" spans="1:17" ht="19.5">
      <c r="A70" s="101"/>
      <c r="B70" s="101"/>
      <c r="C70" s="101"/>
      <c r="D70" s="101"/>
      <c r="E70" s="101"/>
      <c r="F70" s="101"/>
      <c r="G70" s="101"/>
      <c r="H70" s="101"/>
      <c r="I70" s="101"/>
      <c r="J70" s="101"/>
      <c r="K70" s="101"/>
      <c r="L70" s="101"/>
      <c r="M70" s="101"/>
      <c r="N70" s="101"/>
      <c r="O70" s="101"/>
      <c r="P70" s="101"/>
      <c r="Q70" s="101"/>
    </row>
    <row r="71" spans="1:17" ht="19.5">
      <c r="A71" s="101"/>
      <c r="B71" s="101"/>
      <c r="C71" s="101"/>
      <c r="D71" s="101"/>
      <c r="E71" s="101"/>
      <c r="F71" s="101"/>
      <c r="G71" s="101"/>
      <c r="H71" s="101"/>
      <c r="I71" s="101"/>
      <c r="J71" s="101"/>
      <c r="K71" s="101"/>
      <c r="L71" s="101"/>
      <c r="M71" s="101"/>
      <c r="N71" s="101"/>
      <c r="O71" s="101"/>
      <c r="P71" s="101"/>
      <c r="Q71" s="101"/>
    </row>
    <row r="72" spans="1:17" ht="19.5">
      <c r="A72" s="101"/>
      <c r="B72" s="101"/>
      <c r="C72" s="101"/>
      <c r="D72" s="101"/>
      <c r="E72" s="101"/>
      <c r="F72" s="101"/>
      <c r="G72" s="101"/>
      <c r="H72" s="101"/>
      <c r="I72" s="101"/>
      <c r="J72" s="101"/>
      <c r="K72" s="101"/>
      <c r="L72" s="101"/>
      <c r="M72" s="101"/>
      <c r="N72" s="101"/>
      <c r="O72" s="101"/>
      <c r="P72" s="101"/>
      <c r="Q72" s="101"/>
    </row>
    <row r="73" spans="1:17" ht="19.5">
      <c r="A73" s="101"/>
      <c r="B73" s="101"/>
      <c r="C73" s="101"/>
      <c r="D73" s="101"/>
      <c r="E73" s="101"/>
      <c r="F73" s="101"/>
      <c r="G73" s="101"/>
      <c r="H73" s="101"/>
      <c r="I73" s="101"/>
      <c r="J73" s="101"/>
      <c r="K73" s="101"/>
      <c r="L73" s="101"/>
      <c r="M73" s="101"/>
      <c r="N73" s="101"/>
      <c r="O73" s="101"/>
      <c r="P73" s="101"/>
      <c r="Q73" s="101"/>
    </row>
    <row r="74" spans="1:17" ht="19.5">
      <c r="A74" s="101"/>
      <c r="B74" s="101"/>
      <c r="C74" s="101"/>
      <c r="D74" s="101"/>
      <c r="E74" s="101"/>
      <c r="F74" s="101"/>
      <c r="G74" s="101"/>
      <c r="H74" s="101"/>
      <c r="I74" s="101"/>
      <c r="J74" s="101"/>
      <c r="K74" s="101"/>
      <c r="L74" s="101"/>
      <c r="M74" s="101"/>
      <c r="N74" s="101"/>
      <c r="O74" s="101"/>
      <c r="P74" s="101"/>
      <c r="Q74" s="101"/>
    </row>
    <row r="75" spans="1:17" ht="19.5">
      <c r="A75" s="101"/>
      <c r="B75" s="101"/>
      <c r="C75" s="101"/>
      <c r="D75" s="101"/>
      <c r="E75" s="101"/>
      <c r="F75" s="101"/>
      <c r="G75" s="101"/>
      <c r="H75" s="101"/>
      <c r="I75" s="101"/>
      <c r="J75" s="101"/>
      <c r="K75" s="101"/>
      <c r="L75" s="101"/>
      <c r="M75" s="101"/>
      <c r="N75" s="101"/>
      <c r="O75" s="101"/>
      <c r="P75" s="101"/>
      <c r="Q75" s="101"/>
    </row>
    <row r="76" spans="1:17" ht="19.5">
      <c r="A76" s="101"/>
      <c r="B76" s="101"/>
      <c r="C76" s="101"/>
      <c r="D76" s="101"/>
      <c r="E76" s="101"/>
      <c r="F76" s="101"/>
      <c r="G76" s="101"/>
      <c r="H76" s="101"/>
      <c r="I76" s="101"/>
      <c r="J76" s="101"/>
      <c r="K76" s="101"/>
      <c r="L76" s="101"/>
      <c r="M76" s="101"/>
      <c r="N76" s="101"/>
      <c r="O76" s="101"/>
      <c r="P76" s="101"/>
      <c r="Q76" s="101"/>
    </row>
    <row r="77" spans="1:17" ht="19.5">
      <c r="A77" s="101"/>
      <c r="B77" s="101"/>
      <c r="C77" s="101"/>
      <c r="D77" s="101"/>
      <c r="E77" s="101"/>
      <c r="F77" s="101"/>
      <c r="G77" s="101"/>
      <c r="H77" s="101"/>
      <c r="I77" s="101"/>
      <c r="J77" s="101"/>
      <c r="K77" s="101"/>
      <c r="L77" s="101"/>
      <c r="M77" s="101"/>
      <c r="N77" s="101"/>
      <c r="O77" s="101"/>
      <c r="P77" s="101"/>
      <c r="Q77" s="101"/>
    </row>
    <row r="78" spans="1:17" ht="19.5">
      <c r="A78" s="101"/>
      <c r="B78" s="101"/>
      <c r="C78" s="101"/>
      <c r="D78" s="101"/>
      <c r="E78" s="101"/>
      <c r="F78" s="101"/>
      <c r="G78" s="101"/>
      <c r="H78" s="101"/>
      <c r="I78" s="101"/>
      <c r="J78" s="101"/>
      <c r="K78" s="101"/>
      <c r="L78" s="101"/>
      <c r="M78" s="101"/>
      <c r="N78" s="101"/>
      <c r="O78" s="101"/>
      <c r="P78" s="101"/>
      <c r="Q78" s="101"/>
    </row>
    <row r="79" spans="1:17" ht="19.5">
      <c r="A79" s="101"/>
      <c r="B79" s="101"/>
      <c r="C79" s="101"/>
      <c r="D79" s="101"/>
      <c r="E79" s="101"/>
      <c r="F79" s="101"/>
      <c r="G79" s="101"/>
      <c r="H79" s="101"/>
      <c r="I79" s="101"/>
      <c r="J79" s="101"/>
      <c r="K79" s="101"/>
      <c r="L79" s="101"/>
      <c r="M79" s="101"/>
      <c r="N79" s="101"/>
      <c r="O79" s="101"/>
      <c r="P79" s="101"/>
      <c r="Q79" s="101"/>
    </row>
    <row r="80" spans="1:17" ht="19.5">
      <c r="A80" s="101"/>
      <c r="B80" s="101"/>
      <c r="C80" s="101"/>
      <c r="D80" s="101"/>
      <c r="E80" s="101"/>
      <c r="F80" s="101"/>
      <c r="G80" s="101"/>
      <c r="H80" s="101"/>
      <c r="I80" s="101"/>
      <c r="J80" s="101"/>
      <c r="K80" s="101"/>
      <c r="L80" s="101"/>
      <c r="M80" s="101"/>
      <c r="N80" s="101"/>
      <c r="O80" s="101"/>
      <c r="P80" s="101"/>
      <c r="Q80" s="101"/>
    </row>
    <row r="81" spans="1:17" ht="19.5">
      <c r="A81" s="101"/>
      <c r="B81" s="101"/>
      <c r="C81" s="101"/>
      <c r="D81" s="101"/>
      <c r="E81" s="101"/>
      <c r="F81" s="101"/>
      <c r="G81" s="101"/>
      <c r="H81" s="101"/>
      <c r="I81" s="101"/>
      <c r="J81" s="101"/>
      <c r="K81" s="101"/>
      <c r="L81" s="101"/>
      <c r="M81" s="101"/>
      <c r="N81" s="101"/>
      <c r="O81" s="101"/>
      <c r="P81" s="101"/>
      <c r="Q81" s="101"/>
    </row>
    <row r="82" spans="1:17" ht="19.5">
      <c r="A82" s="101"/>
      <c r="B82" s="101"/>
      <c r="C82" s="101"/>
      <c r="D82" s="101"/>
      <c r="E82" s="101"/>
      <c r="F82" s="101"/>
      <c r="G82" s="101"/>
      <c r="H82" s="101"/>
      <c r="I82" s="101"/>
      <c r="J82" s="101"/>
      <c r="K82" s="101"/>
      <c r="L82" s="101"/>
      <c r="M82" s="101"/>
      <c r="N82" s="101"/>
      <c r="O82" s="101"/>
      <c r="P82" s="101"/>
      <c r="Q82" s="101"/>
    </row>
    <row r="83" spans="1:17" ht="19.5">
      <c r="A83" s="101"/>
      <c r="B83" s="101"/>
      <c r="C83" s="101"/>
      <c r="D83" s="101"/>
      <c r="E83" s="101"/>
      <c r="F83" s="101"/>
      <c r="G83" s="101"/>
      <c r="H83" s="101"/>
      <c r="I83" s="101"/>
      <c r="J83" s="101"/>
      <c r="K83" s="101"/>
      <c r="L83" s="101"/>
      <c r="M83" s="101"/>
      <c r="N83" s="101"/>
      <c r="O83" s="101"/>
      <c r="P83" s="101"/>
      <c r="Q83" s="101"/>
    </row>
    <row r="84" spans="1:17" ht="19.5">
      <c r="A84" s="101"/>
      <c r="B84" s="101"/>
      <c r="C84" s="101"/>
      <c r="D84" s="101"/>
      <c r="E84" s="101"/>
      <c r="F84" s="101"/>
      <c r="G84" s="101"/>
      <c r="H84" s="101"/>
      <c r="I84" s="101"/>
      <c r="J84" s="101"/>
      <c r="K84" s="101"/>
      <c r="L84" s="101"/>
      <c r="M84" s="101"/>
      <c r="N84" s="101"/>
      <c r="O84" s="101"/>
      <c r="P84" s="101"/>
      <c r="Q84" s="101"/>
    </row>
    <row r="85" spans="1:17" ht="19.5">
      <c r="A85" s="101"/>
      <c r="B85" s="101"/>
      <c r="C85" s="101"/>
      <c r="D85" s="101"/>
      <c r="E85" s="101"/>
      <c r="F85" s="101"/>
      <c r="G85" s="101"/>
      <c r="H85" s="101"/>
      <c r="I85" s="101"/>
      <c r="J85" s="101"/>
      <c r="K85" s="101"/>
      <c r="L85" s="101"/>
      <c r="M85" s="101"/>
      <c r="N85" s="101"/>
      <c r="O85" s="101"/>
      <c r="P85" s="101"/>
      <c r="Q85" s="101"/>
    </row>
    <row r="86" spans="1:17" ht="19.5">
      <c r="A86" s="101"/>
      <c r="B86" s="101"/>
      <c r="C86" s="101"/>
      <c r="D86" s="101"/>
      <c r="E86" s="101"/>
      <c r="F86" s="101"/>
      <c r="G86" s="101"/>
      <c r="H86" s="101"/>
      <c r="I86" s="101"/>
      <c r="J86" s="101"/>
      <c r="K86" s="101"/>
      <c r="L86" s="101"/>
      <c r="M86" s="101"/>
      <c r="N86" s="101"/>
      <c r="O86" s="101"/>
      <c r="P86" s="101"/>
      <c r="Q86" s="101"/>
    </row>
    <row r="87" spans="1:17" ht="19.5">
      <c r="A87" s="101"/>
      <c r="B87" s="101"/>
      <c r="C87" s="101"/>
      <c r="D87" s="101"/>
      <c r="E87" s="101"/>
      <c r="F87" s="101"/>
      <c r="G87" s="101"/>
      <c r="H87" s="101"/>
      <c r="I87" s="101"/>
      <c r="J87" s="101"/>
      <c r="K87" s="101"/>
      <c r="L87" s="101"/>
      <c r="M87" s="101"/>
      <c r="N87" s="101"/>
      <c r="O87" s="101"/>
      <c r="P87" s="101"/>
      <c r="Q87" s="101"/>
    </row>
    <row r="88" spans="1:17" ht="19.5">
      <c r="A88" s="101"/>
      <c r="B88" s="101"/>
      <c r="C88" s="101"/>
      <c r="D88" s="101"/>
      <c r="E88" s="101"/>
      <c r="F88" s="101"/>
      <c r="G88" s="101"/>
      <c r="H88" s="101"/>
      <c r="I88" s="101"/>
      <c r="J88" s="101"/>
      <c r="K88" s="101"/>
      <c r="L88" s="101"/>
      <c r="M88" s="101"/>
      <c r="N88" s="101"/>
      <c r="O88" s="101"/>
      <c r="P88" s="101"/>
      <c r="Q88" s="101"/>
    </row>
    <row r="89" spans="1:17" ht="19.5">
      <c r="A89" s="101"/>
      <c r="B89" s="101"/>
      <c r="C89" s="101"/>
      <c r="D89" s="101"/>
      <c r="E89" s="101"/>
      <c r="F89" s="101"/>
      <c r="G89" s="101"/>
      <c r="H89" s="101"/>
      <c r="I89" s="101"/>
      <c r="J89" s="101"/>
      <c r="K89" s="101"/>
      <c r="L89" s="101"/>
      <c r="M89" s="101"/>
      <c r="N89" s="101"/>
      <c r="O89" s="101"/>
      <c r="P89" s="101"/>
      <c r="Q89" s="101"/>
    </row>
    <row r="90" spans="1:17" ht="19.5">
      <c r="A90" s="101"/>
      <c r="B90" s="101"/>
      <c r="C90" s="101"/>
      <c r="D90" s="101"/>
      <c r="E90" s="101"/>
      <c r="F90" s="101"/>
      <c r="G90" s="101"/>
      <c r="H90" s="101"/>
      <c r="I90" s="101"/>
      <c r="J90" s="101"/>
      <c r="K90" s="101"/>
      <c r="L90" s="101"/>
      <c r="M90" s="101"/>
      <c r="N90" s="101"/>
      <c r="O90" s="101"/>
      <c r="P90" s="101"/>
      <c r="Q90" s="101"/>
    </row>
    <row r="91" spans="1:17" ht="19.5">
      <c r="A91" s="101"/>
      <c r="B91" s="101"/>
      <c r="C91" s="101"/>
      <c r="D91" s="101"/>
      <c r="E91" s="101"/>
      <c r="F91" s="101"/>
      <c r="G91" s="101"/>
      <c r="H91" s="101"/>
      <c r="I91" s="101"/>
      <c r="J91" s="101"/>
      <c r="K91" s="101"/>
      <c r="L91" s="101"/>
      <c r="M91" s="101"/>
      <c r="N91" s="101"/>
      <c r="O91" s="101"/>
      <c r="P91" s="101"/>
      <c r="Q91" s="101"/>
    </row>
    <row r="92" spans="1:17" ht="19.5">
      <c r="A92" s="101"/>
      <c r="B92" s="101"/>
      <c r="C92" s="101"/>
      <c r="D92" s="101"/>
      <c r="E92" s="101"/>
      <c r="F92" s="101"/>
      <c r="G92" s="101"/>
      <c r="H92" s="101"/>
      <c r="I92" s="101"/>
      <c r="J92" s="101"/>
      <c r="K92" s="101"/>
      <c r="L92" s="101"/>
      <c r="M92" s="101"/>
      <c r="N92" s="101"/>
      <c r="O92" s="101"/>
      <c r="P92" s="101"/>
      <c r="Q92" s="101"/>
    </row>
    <row r="93" spans="1:17" ht="19.5">
      <c r="A93" s="101"/>
      <c r="B93" s="101"/>
      <c r="C93" s="101"/>
      <c r="D93" s="101"/>
      <c r="E93" s="101"/>
      <c r="F93" s="101"/>
      <c r="G93" s="101"/>
      <c r="H93" s="101"/>
      <c r="I93" s="101"/>
      <c r="J93" s="101"/>
      <c r="K93" s="101"/>
      <c r="L93" s="101"/>
      <c r="M93" s="101"/>
      <c r="N93" s="101"/>
      <c r="O93" s="101"/>
      <c r="P93" s="101"/>
      <c r="Q93" s="101"/>
    </row>
    <row r="94" spans="1:17" ht="19.5">
      <c r="A94" s="101"/>
      <c r="B94" s="101"/>
      <c r="C94" s="101"/>
      <c r="D94" s="101"/>
      <c r="E94" s="101"/>
      <c r="F94" s="101"/>
      <c r="G94" s="101"/>
      <c r="H94" s="101"/>
      <c r="I94" s="101"/>
      <c r="J94" s="101"/>
      <c r="K94" s="101"/>
      <c r="L94" s="101"/>
      <c r="M94" s="101"/>
      <c r="N94" s="101"/>
      <c r="O94" s="101"/>
      <c r="P94" s="101"/>
      <c r="Q94" s="101"/>
    </row>
    <row r="95" spans="1:17" ht="19.5">
      <c r="A95" s="101"/>
      <c r="B95" s="101"/>
      <c r="C95" s="101"/>
      <c r="D95" s="101"/>
      <c r="E95" s="101"/>
      <c r="F95" s="101"/>
      <c r="G95" s="101"/>
      <c r="H95" s="101"/>
      <c r="I95" s="101"/>
      <c r="J95" s="101"/>
      <c r="K95" s="101"/>
      <c r="L95" s="101"/>
      <c r="M95" s="101"/>
      <c r="N95" s="101"/>
      <c r="O95" s="101"/>
      <c r="P95" s="101"/>
      <c r="Q95" s="101"/>
    </row>
    <row r="96" spans="1:17" ht="19.5">
      <c r="A96" s="101"/>
      <c r="B96" s="101"/>
      <c r="C96" s="101"/>
      <c r="D96" s="101"/>
      <c r="E96" s="101"/>
      <c r="F96" s="101"/>
      <c r="G96" s="101"/>
      <c r="H96" s="101"/>
      <c r="I96" s="101"/>
      <c r="J96" s="101"/>
      <c r="K96" s="101"/>
      <c r="L96" s="101"/>
      <c r="M96" s="101"/>
      <c r="N96" s="101"/>
      <c r="O96" s="101"/>
      <c r="P96" s="101"/>
      <c r="Q96" s="101"/>
    </row>
    <row r="97" spans="1:17" ht="19.5">
      <c r="A97" s="101"/>
      <c r="B97" s="101"/>
      <c r="C97" s="101"/>
      <c r="D97" s="101"/>
      <c r="E97" s="101"/>
      <c r="F97" s="101"/>
      <c r="G97" s="101"/>
      <c r="H97" s="101"/>
      <c r="I97" s="101"/>
      <c r="J97" s="101"/>
      <c r="K97" s="101"/>
      <c r="L97" s="101"/>
      <c r="M97" s="101"/>
      <c r="N97" s="101"/>
      <c r="O97" s="101"/>
      <c r="P97" s="101"/>
      <c r="Q97" s="101"/>
    </row>
    <row r="98" spans="1:17" ht="19.5">
      <c r="A98" s="101"/>
      <c r="B98" s="101"/>
      <c r="C98" s="101"/>
      <c r="D98" s="101"/>
      <c r="E98" s="101"/>
      <c r="F98" s="101"/>
      <c r="G98" s="101"/>
      <c r="H98" s="101"/>
      <c r="I98" s="101"/>
      <c r="J98" s="101"/>
      <c r="K98" s="101"/>
      <c r="L98" s="101"/>
      <c r="M98" s="101"/>
      <c r="N98" s="101"/>
      <c r="O98" s="101"/>
      <c r="P98" s="101"/>
      <c r="Q98" s="101"/>
    </row>
    <row r="99" spans="1:17" ht="19.5">
      <c r="A99" s="101"/>
      <c r="B99" s="101"/>
      <c r="C99" s="101"/>
      <c r="D99" s="101"/>
      <c r="E99" s="101"/>
      <c r="F99" s="101"/>
      <c r="G99" s="101"/>
      <c r="H99" s="101"/>
      <c r="I99" s="101"/>
      <c r="J99" s="101"/>
      <c r="K99" s="101"/>
      <c r="L99" s="101"/>
      <c r="M99" s="101"/>
      <c r="N99" s="101"/>
      <c r="O99" s="101"/>
      <c r="P99" s="101"/>
      <c r="Q99" s="101"/>
    </row>
    <row r="100" spans="1:17" ht="19.5">
      <c r="A100" s="101"/>
      <c r="B100" s="101"/>
      <c r="C100" s="101"/>
      <c r="D100" s="101"/>
      <c r="E100" s="101"/>
      <c r="F100" s="101"/>
      <c r="G100" s="101"/>
      <c r="H100" s="101"/>
      <c r="I100" s="101"/>
      <c r="J100" s="101"/>
      <c r="K100" s="101"/>
      <c r="L100" s="101"/>
      <c r="M100" s="101"/>
      <c r="N100" s="101"/>
      <c r="O100" s="101"/>
      <c r="P100" s="101"/>
      <c r="Q100" s="101"/>
    </row>
    <row r="101" spans="1:17" ht="19.5">
      <c r="A101" s="101"/>
      <c r="B101" s="101"/>
      <c r="C101" s="101"/>
      <c r="D101" s="101"/>
      <c r="E101" s="101"/>
      <c r="F101" s="101"/>
      <c r="G101" s="101"/>
      <c r="H101" s="101"/>
      <c r="I101" s="101"/>
      <c r="J101" s="101"/>
      <c r="K101" s="101"/>
      <c r="L101" s="101"/>
      <c r="M101" s="101"/>
      <c r="N101" s="101"/>
      <c r="O101" s="101"/>
      <c r="P101" s="101"/>
      <c r="Q101" s="101"/>
    </row>
    <row r="102" spans="1:17" ht="19.5">
      <c r="A102" s="101"/>
      <c r="B102" s="101"/>
      <c r="C102" s="101"/>
      <c r="D102" s="101"/>
      <c r="E102" s="101"/>
      <c r="F102" s="101"/>
      <c r="G102" s="101"/>
      <c r="H102" s="101"/>
      <c r="I102" s="101"/>
      <c r="J102" s="101"/>
      <c r="K102" s="101"/>
      <c r="L102" s="101"/>
      <c r="M102" s="101"/>
      <c r="N102" s="101"/>
      <c r="O102" s="101"/>
      <c r="P102" s="101"/>
      <c r="Q102" s="101"/>
    </row>
    <row r="103" spans="1:17" ht="19.5">
      <c r="A103" s="101"/>
      <c r="B103" s="101"/>
      <c r="C103" s="101"/>
      <c r="D103" s="101"/>
      <c r="E103" s="101"/>
      <c r="F103" s="101"/>
      <c r="G103" s="101"/>
      <c r="H103" s="101"/>
      <c r="I103" s="101"/>
      <c r="J103" s="101"/>
      <c r="K103" s="101"/>
      <c r="L103" s="101"/>
      <c r="M103" s="101"/>
      <c r="N103" s="101"/>
      <c r="O103" s="101"/>
      <c r="P103" s="101"/>
      <c r="Q103" s="101"/>
    </row>
    <row r="104" spans="1:17" ht="19.5">
      <c r="A104" s="101"/>
      <c r="B104" s="101"/>
      <c r="C104" s="101"/>
      <c r="D104" s="101"/>
      <c r="E104" s="101"/>
      <c r="F104" s="101"/>
      <c r="G104" s="101"/>
      <c r="H104" s="101"/>
      <c r="I104" s="101"/>
      <c r="J104" s="101"/>
      <c r="K104" s="101"/>
      <c r="L104" s="101"/>
      <c r="M104" s="101"/>
      <c r="N104" s="101"/>
      <c r="O104" s="101"/>
      <c r="P104" s="101"/>
      <c r="Q104" s="101"/>
    </row>
    <row r="105" spans="1:17" ht="19.5">
      <c r="A105" s="101"/>
      <c r="B105" s="101"/>
      <c r="C105" s="101"/>
      <c r="D105" s="101"/>
      <c r="E105" s="101"/>
      <c r="F105" s="101"/>
      <c r="G105" s="101"/>
      <c r="H105" s="101"/>
      <c r="I105" s="101"/>
      <c r="J105" s="101"/>
      <c r="K105" s="101"/>
      <c r="L105" s="101"/>
      <c r="M105" s="101"/>
      <c r="N105" s="101"/>
      <c r="O105" s="101"/>
      <c r="P105" s="101"/>
      <c r="Q105" s="101"/>
    </row>
    <row r="106" spans="1:17" ht="19.5">
      <c r="A106" s="101"/>
      <c r="B106" s="101"/>
      <c r="C106" s="101"/>
      <c r="D106" s="101"/>
      <c r="E106" s="101"/>
      <c r="F106" s="101"/>
      <c r="G106" s="101"/>
      <c r="H106" s="101"/>
      <c r="I106" s="101"/>
      <c r="J106" s="101"/>
      <c r="K106" s="101"/>
      <c r="L106" s="101"/>
      <c r="M106" s="101"/>
      <c r="N106" s="101"/>
      <c r="O106" s="101"/>
      <c r="P106" s="101"/>
      <c r="Q106" s="101"/>
    </row>
    <row r="107" spans="1:17" ht="19.5">
      <c r="A107" s="101"/>
      <c r="B107" s="101"/>
      <c r="C107" s="101"/>
      <c r="D107" s="101"/>
      <c r="E107" s="101"/>
      <c r="F107" s="101"/>
      <c r="G107" s="101"/>
      <c r="H107" s="101"/>
      <c r="I107" s="101"/>
      <c r="J107" s="101"/>
      <c r="K107" s="101"/>
      <c r="L107" s="101"/>
      <c r="M107" s="101"/>
      <c r="N107" s="101"/>
      <c r="O107" s="101"/>
      <c r="P107" s="101"/>
      <c r="Q107" s="101"/>
    </row>
    <row r="108" spans="1:17" ht="19.5">
      <c r="A108" s="101"/>
      <c r="B108" s="101"/>
      <c r="C108" s="101"/>
      <c r="D108" s="101"/>
      <c r="E108" s="101"/>
      <c r="F108" s="101"/>
      <c r="G108" s="101"/>
      <c r="H108" s="101"/>
      <c r="I108" s="101"/>
      <c r="J108" s="101"/>
      <c r="K108" s="101"/>
      <c r="L108" s="101"/>
      <c r="M108" s="101"/>
      <c r="N108" s="101"/>
      <c r="O108" s="101"/>
      <c r="P108" s="101"/>
      <c r="Q108" s="101"/>
    </row>
    <row r="109" spans="1:17" ht="19.5">
      <c r="A109" s="101"/>
      <c r="B109" s="101"/>
      <c r="C109" s="101"/>
      <c r="D109" s="101"/>
      <c r="E109" s="101"/>
      <c r="F109" s="101"/>
      <c r="G109" s="101"/>
      <c r="H109" s="101"/>
      <c r="I109" s="101"/>
      <c r="J109" s="101"/>
      <c r="K109" s="101"/>
      <c r="L109" s="101"/>
      <c r="M109" s="101"/>
      <c r="N109" s="101"/>
      <c r="O109" s="101"/>
      <c r="P109" s="101"/>
      <c r="Q109" s="101"/>
    </row>
    <row r="110" spans="1:17" ht="19.5">
      <c r="A110" s="101"/>
      <c r="B110" s="101"/>
      <c r="C110" s="101"/>
      <c r="D110" s="101"/>
      <c r="E110" s="101"/>
      <c r="F110" s="101"/>
      <c r="G110" s="101"/>
      <c r="H110" s="101"/>
      <c r="I110" s="101"/>
      <c r="J110" s="101"/>
      <c r="K110" s="101"/>
      <c r="L110" s="101"/>
      <c r="M110" s="101"/>
      <c r="N110" s="101"/>
      <c r="O110" s="101"/>
      <c r="P110" s="101"/>
      <c r="Q110" s="101"/>
    </row>
    <row r="111" spans="1:17" ht="19.5">
      <c r="A111" s="101"/>
      <c r="B111" s="101"/>
      <c r="C111" s="101"/>
      <c r="D111" s="101"/>
      <c r="E111" s="101"/>
      <c r="F111" s="101"/>
      <c r="G111" s="101"/>
      <c r="H111" s="101"/>
      <c r="I111" s="101"/>
      <c r="J111" s="101"/>
      <c r="K111" s="101"/>
      <c r="L111" s="101"/>
      <c r="M111" s="101"/>
      <c r="N111" s="101"/>
      <c r="O111" s="101"/>
      <c r="P111" s="101"/>
      <c r="Q111" s="101"/>
    </row>
    <row r="112" spans="1:17" ht="19.5">
      <c r="A112" s="101"/>
      <c r="B112" s="101"/>
      <c r="C112" s="101"/>
      <c r="D112" s="101"/>
      <c r="E112" s="101"/>
      <c r="F112" s="101"/>
      <c r="G112" s="101"/>
      <c r="H112" s="101"/>
      <c r="I112" s="101"/>
      <c r="J112" s="101"/>
      <c r="K112" s="101"/>
      <c r="L112" s="101"/>
      <c r="M112" s="101"/>
      <c r="N112" s="101"/>
      <c r="O112" s="101"/>
      <c r="P112" s="101"/>
      <c r="Q112" s="101"/>
    </row>
    <row r="113" spans="1:17" ht="19.5">
      <c r="A113" s="101"/>
      <c r="B113" s="101"/>
      <c r="C113" s="101"/>
      <c r="D113" s="101"/>
      <c r="E113" s="101"/>
      <c r="F113" s="101"/>
      <c r="G113" s="101"/>
      <c r="H113" s="101"/>
      <c r="I113" s="101"/>
      <c r="J113" s="101"/>
      <c r="K113" s="101"/>
      <c r="L113" s="101"/>
      <c r="M113" s="101"/>
      <c r="N113" s="101"/>
      <c r="O113" s="101"/>
      <c r="P113" s="101"/>
      <c r="Q113" s="101"/>
    </row>
    <row r="114" spans="1:17" ht="19.5">
      <c r="A114" s="101"/>
      <c r="B114" s="101"/>
      <c r="C114" s="101"/>
      <c r="D114" s="101"/>
      <c r="E114" s="101"/>
      <c r="F114" s="101"/>
      <c r="G114" s="101"/>
      <c r="H114" s="101"/>
      <c r="I114" s="101"/>
      <c r="J114" s="101"/>
      <c r="K114" s="101"/>
      <c r="L114" s="101"/>
      <c r="M114" s="101"/>
      <c r="N114" s="101"/>
      <c r="O114" s="101"/>
      <c r="P114" s="101"/>
      <c r="Q114" s="101"/>
    </row>
    <row r="115" spans="1:17" ht="19.5">
      <c r="A115" s="101"/>
      <c r="B115" s="101"/>
      <c r="C115" s="101"/>
      <c r="D115" s="101"/>
      <c r="E115" s="101"/>
      <c r="F115" s="101"/>
      <c r="G115" s="101"/>
      <c r="H115" s="101"/>
      <c r="I115" s="101"/>
      <c r="J115" s="101"/>
      <c r="K115" s="101"/>
      <c r="L115" s="101"/>
      <c r="M115" s="101"/>
      <c r="N115" s="101"/>
      <c r="O115" s="101"/>
      <c r="P115" s="101"/>
      <c r="Q115" s="101"/>
    </row>
    <row r="116" spans="1:17" ht="19.5">
      <c r="A116" s="101"/>
      <c r="B116" s="101"/>
      <c r="C116" s="101"/>
      <c r="D116" s="101"/>
      <c r="E116" s="101"/>
      <c r="F116" s="101"/>
      <c r="G116" s="101"/>
      <c r="H116" s="101"/>
      <c r="I116" s="101"/>
      <c r="J116" s="101"/>
      <c r="K116" s="101"/>
      <c r="L116" s="101"/>
      <c r="M116" s="101"/>
      <c r="N116" s="101"/>
      <c r="O116" s="101"/>
      <c r="P116" s="101"/>
      <c r="Q116" s="101"/>
    </row>
    <row r="117" spans="1:17" ht="19.5">
      <c r="A117" s="101"/>
      <c r="B117" s="101"/>
      <c r="C117" s="101"/>
      <c r="D117" s="101"/>
      <c r="E117" s="101"/>
      <c r="F117" s="101"/>
      <c r="G117" s="101"/>
      <c r="H117" s="101"/>
      <c r="I117" s="101"/>
      <c r="J117" s="101"/>
      <c r="K117" s="101"/>
      <c r="L117" s="101"/>
      <c r="M117" s="101"/>
      <c r="N117" s="101"/>
      <c r="O117" s="101"/>
      <c r="P117" s="101"/>
      <c r="Q117" s="101"/>
    </row>
    <row r="118" spans="1:17" ht="19.5">
      <c r="A118" s="101"/>
      <c r="B118" s="101"/>
      <c r="C118" s="101"/>
      <c r="D118" s="101"/>
      <c r="E118" s="101"/>
      <c r="F118" s="101"/>
      <c r="G118" s="101"/>
      <c r="H118" s="101"/>
      <c r="I118" s="101"/>
      <c r="J118" s="101"/>
      <c r="K118" s="101"/>
      <c r="L118" s="101"/>
      <c r="M118" s="101"/>
      <c r="N118" s="101"/>
      <c r="O118" s="101"/>
      <c r="P118" s="101"/>
      <c r="Q118" s="101"/>
    </row>
    <row r="119" spans="1:17" ht="19.5">
      <c r="A119" s="101"/>
      <c r="B119" s="101"/>
      <c r="C119" s="101"/>
      <c r="D119" s="101"/>
      <c r="E119" s="101"/>
      <c r="F119" s="101"/>
      <c r="G119" s="101"/>
      <c r="H119" s="101"/>
      <c r="I119" s="101"/>
      <c r="J119" s="101"/>
      <c r="K119" s="101"/>
      <c r="L119" s="101"/>
      <c r="M119" s="101"/>
      <c r="N119" s="101"/>
      <c r="O119" s="101"/>
      <c r="P119" s="101"/>
      <c r="Q119" s="101"/>
    </row>
    <row r="120" spans="1:17" ht="19.5">
      <c r="A120" s="101"/>
      <c r="B120" s="101"/>
      <c r="C120" s="101"/>
      <c r="D120" s="101"/>
      <c r="E120" s="101"/>
      <c r="F120" s="101"/>
      <c r="G120" s="101"/>
      <c r="H120" s="101"/>
      <c r="I120" s="101"/>
      <c r="J120" s="101"/>
      <c r="K120" s="101"/>
      <c r="L120" s="101"/>
      <c r="M120" s="101"/>
      <c r="N120" s="101"/>
      <c r="O120" s="101"/>
      <c r="P120" s="101"/>
      <c r="Q120" s="101"/>
    </row>
    <row r="121" spans="1:17" ht="19.5">
      <c r="A121" s="101"/>
      <c r="B121" s="101"/>
      <c r="C121" s="101"/>
      <c r="D121" s="101"/>
      <c r="E121" s="101"/>
      <c r="F121" s="101"/>
      <c r="G121" s="101"/>
      <c r="H121" s="101"/>
      <c r="I121" s="101"/>
      <c r="J121" s="101"/>
      <c r="K121" s="101"/>
      <c r="L121" s="101"/>
      <c r="M121" s="101"/>
      <c r="N121" s="101"/>
      <c r="O121" s="101"/>
      <c r="P121" s="101"/>
      <c r="Q121" s="101"/>
    </row>
    <row r="122" spans="1:17" ht="19.5">
      <c r="A122" s="101"/>
      <c r="B122" s="101"/>
      <c r="C122" s="101"/>
      <c r="D122" s="101"/>
      <c r="E122" s="101"/>
      <c r="F122" s="101"/>
      <c r="G122" s="101"/>
      <c r="H122" s="101"/>
      <c r="I122" s="101"/>
      <c r="J122" s="101"/>
      <c r="K122" s="101"/>
      <c r="L122" s="101"/>
      <c r="M122" s="101"/>
      <c r="N122" s="101"/>
      <c r="O122" s="101"/>
      <c r="P122" s="101"/>
      <c r="Q122" s="101"/>
    </row>
    <row r="123" spans="1:17" ht="19.5">
      <c r="A123" s="101"/>
      <c r="B123" s="101"/>
      <c r="C123" s="101"/>
      <c r="D123" s="101"/>
      <c r="E123" s="101"/>
      <c r="F123" s="101"/>
      <c r="G123" s="101"/>
      <c r="H123" s="101"/>
      <c r="I123" s="101"/>
      <c r="J123" s="101"/>
      <c r="K123" s="101"/>
      <c r="L123" s="101"/>
      <c r="M123" s="101"/>
      <c r="N123" s="101"/>
      <c r="O123" s="101"/>
      <c r="P123" s="101"/>
      <c r="Q123" s="101"/>
    </row>
    <row r="124" spans="1:17" ht="19.5">
      <c r="A124" s="101"/>
      <c r="B124" s="101"/>
      <c r="C124" s="101"/>
      <c r="D124" s="101"/>
      <c r="E124" s="101"/>
      <c r="F124" s="101"/>
      <c r="G124" s="101"/>
      <c r="H124" s="101"/>
      <c r="I124" s="101"/>
      <c r="J124" s="101"/>
      <c r="K124" s="101"/>
      <c r="L124" s="101"/>
      <c r="M124" s="101"/>
      <c r="N124" s="101"/>
      <c r="O124" s="101"/>
      <c r="P124" s="101"/>
      <c r="Q124" s="101"/>
    </row>
    <row r="125" spans="1:17" ht="19.5">
      <c r="A125" s="101"/>
      <c r="B125" s="101"/>
      <c r="C125" s="101"/>
      <c r="D125" s="101"/>
      <c r="E125" s="101"/>
      <c r="F125" s="101"/>
      <c r="G125" s="101"/>
      <c r="H125" s="101"/>
      <c r="I125" s="101"/>
      <c r="J125" s="101"/>
      <c r="K125" s="101"/>
      <c r="L125" s="101"/>
      <c r="M125" s="101"/>
      <c r="N125" s="101"/>
      <c r="O125" s="101"/>
      <c r="P125" s="101"/>
      <c r="Q125" s="101"/>
    </row>
    <row r="126" spans="1:17" ht="19.5">
      <c r="A126" s="101"/>
      <c r="B126" s="101"/>
      <c r="C126" s="101"/>
      <c r="D126" s="101"/>
      <c r="E126" s="101"/>
      <c r="F126" s="101"/>
      <c r="G126" s="101"/>
      <c r="H126" s="101"/>
      <c r="I126" s="101"/>
      <c r="J126" s="101"/>
      <c r="K126" s="101"/>
      <c r="L126" s="101"/>
      <c r="M126" s="101"/>
      <c r="N126" s="101"/>
      <c r="O126" s="101"/>
      <c r="P126" s="101"/>
      <c r="Q126" s="101"/>
    </row>
    <row r="127" spans="1:17" ht="19.5">
      <c r="A127" s="101"/>
      <c r="B127" s="101"/>
      <c r="C127" s="101"/>
      <c r="D127" s="101"/>
      <c r="E127" s="101"/>
      <c r="F127" s="101"/>
      <c r="G127" s="101"/>
      <c r="H127" s="101"/>
      <c r="I127" s="101"/>
      <c r="J127" s="101"/>
      <c r="K127" s="101"/>
      <c r="L127" s="101"/>
      <c r="M127" s="101"/>
      <c r="N127" s="101"/>
      <c r="O127" s="101"/>
      <c r="P127" s="101"/>
      <c r="Q127" s="101"/>
    </row>
    <row r="128" spans="1:17" ht="19.5">
      <c r="A128" s="101"/>
      <c r="B128" s="101"/>
      <c r="C128" s="101"/>
      <c r="D128" s="101"/>
      <c r="E128" s="101"/>
      <c r="F128" s="101"/>
      <c r="G128" s="101"/>
      <c r="H128" s="101"/>
      <c r="I128" s="101"/>
      <c r="J128" s="101"/>
      <c r="K128" s="101"/>
      <c r="L128" s="101"/>
      <c r="M128" s="101"/>
      <c r="N128" s="101"/>
      <c r="O128" s="101"/>
      <c r="P128" s="101"/>
      <c r="Q128" s="101"/>
    </row>
    <row r="129" spans="1:17" ht="19.5">
      <c r="A129" s="101"/>
      <c r="B129" s="101"/>
      <c r="C129" s="101"/>
      <c r="D129" s="101"/>
      <c r="E129" s="101"/>
      <c r="F129" s="101"/>
      <c r="G129" s="101"/>
      <c r="H129" s="101"/>
      <c r="I129" s="101"/>
      <c r="J129" s="101"/>
      <c r="K129" s="101"/>
      <c r="L129" s="101"/>
      <c r="M129" s="101"/>
      <c r="N129" s="101"/>
      <c r="O129" s="101"/>
      <c r="P129" s="101"/>
      <c r="Q129" s="101"/>
    </row>
    <row r="130" spans="1:17" ht="19.5">
      <c r="A130" s="101"/>
      <c r="B130" s="101"/>
      <c r="C130" s="101"/>
      <c r="D130" s="101"/>
      <c r="E130" s="101"/>
      <c r="F130" s="101"/>
      <c r="G130" s="101"/>
      <c r="H130" s="101"/>
      <c r="I130" s="101"/>
      <c r="J130" s="101"/>
      <c r="K130" s="101"/>
      <c r="L130" s="101"/>
      <c r="M130" s="101"/>
      <c r="N130" s="101"/>
      <c r="O130" s="101"/>
      <c r="P130" s="101"/>
      <c r="Q130" s="101"/>
    </row>
    <row r="131" spans="1:17" ht="19.5">
      <c r="A131" s="101"/>
      <c r="B131" s="101"/>
      <c r="C131" s="101"/>
      <c r="D131" s="101"/>
      <c r="E131" s="101"/>
      <c r="F131" s="101"/>
      <c r="G131" s="101"/>
      <c r="H131" s="101"/>
      <c r="I131" s="101"/>
      <c r="J131" s="101"/>
      <c r="K131" s="101"/>
      <c r="L131" s="101"/>
      <c r="M131" s="101"/>
      <c r="N131" s="101"/>
      <c r="O131" s="101"/>
      <c r="P131" s="101"/>
      <c r="Q131" s="101"/>
    </row>
    <row r="132" spans="1:17" ht="19.5">
      <c r="A132" s="101"/>
      <c r="B132" s="101"/>
      <c r="C132" s="101"/>
      <c r="D132" s="101"/>
      <c r="E132" s="101"/>
      <c r="F132" s="101"/>
      <c r="G132" s="101"/>
      <c r="H132" s="101"/>
      <c r="I132" s="101"/>
      <c r="J132" s="101"/>
      <c r="K132" s="101"/>
      <c r="L132" s="101"/>
      <c r="M132" s="101"/>
      <c r="N132" s="101"/>
      <c r="O132" s="101"/>
      <c r="P132" s="101"/>
      <c r="Q132" s="101"/>
    </row>
    <row r="133" spans="1:17" ht="19.5">
      <c r="A133" s="101"/>
      <c r="B133" s="101"/>
      <c r="C133" s="101"/>
      <c r="D133" s="101"/>
      <c r="E133" s="101"/>
      <c r="F133" s="101"/>
      <c r="G133" s="101"/>
      <c r="H133" s="101"/>
      <c r="I133" s="101"/>
      <c r="J133" s="101"/>
      <c r="K133" s="101"/>
      <c r="L133" s="101"/>
      <c r="M133" s="101"/>
      <c r="N133" s="101"/>
      <c r="O133" s="101"/>
      <c r="P133" s="101"/>
      <c r="Q133" s="101"/>
    </row>
    <row r="134" spans="1:17" ht="19.5">
      <c r="A134" s="101"/>
      <c r="B134" s="101"/>
      <c r="C134" s="101"/>
      <c r="D134" s="101"/>
      <c r="E134" s="101"/>
      <c r="F134" s="101"/>
      <c r="G134" s="101"/>
      <c r="H134" s="101"/>
      <c r="I134" s="101"/>
      <c r="J134" s="101"/>
      <c r="K134" s="101"/>
      <c r="L134" s="101"/>
      <c r="M134" s="101"/>
      <c r="N134" s="101"/>
      <c r="O134" s="101"/>
      <c r="P134" s="101"/>
      <c r="Q134" s="101"/>
    </row>
    <row r="135" spans="1:17" ht="19.5">
      <c r="A135" s="101"/>
      <c r="B135" s="101"/>
      <c r="C135" s="101"/>
      <c r="D135" s="101"/>
      <c r="E135" s="101"/>
      <c r="F135" s="101"/>
      <c r="G135" s="101"/>
      <c r="H135" s="101"/>
      <c r="I135" s="101"/>
      <c r="J135" s="101"/>
      <c r="K135" s="101"/>
      <c r="L135" s="101"/>
      <c r="M135" s="101"/>
      <c r="N135" s="101"/>
      <c r="O135" s="101"/>
      <c r="P135" s="101"/>
      <c r="Q135" s="101"/>
    </row>
    <row r="136" spans="1:17" ht="19.5">
      <c r="A136" s="101"/>
      <c r="B136" s="101"/>
      <c r="C136" s="101"/>
      <c r="D136" s="101"/>
      <c r="E136" s="101"/>
      <c r="F136" s="101"/>
      <c r="G136" s="101"/>
      <c r="H136" s="101"/>
      <c r="I136" s="101"/>
      <c r="J136" s="101"/>
      <c r="K136" s="101"/>
      <c r="L136" s="101"/>
      <c r="M136" s="101"/>
      <c r="N136" s="101"/>
      <c r="O136" s="101"/>
      <c r="P136" s="101"/>
      <c r="Q136" s="101"/>
    </row>
    <row r="137" spans="1:17" ht="19.5">
      <c r="A137" s="101"/>
      <c r="B137" s="101"/>
      <c r="C137" s="101"/>
      <c r="D137" s="101"/>
      <c r="E137" s="101"/>
      <c r="F137" s="101"/>
      <c r="G137" s="101"/>
      <c r="H137" s="101"/>
      <c r="I137" s="101"/>
      <c r="J137" s="101"/>
      <c r="K137" s="101"/>
      <c r="L137" s="101"/>
      <c r="M137" s="101"/>
      <c r="N137" s="101"/>
      <c r="O137" s="101"/>
      <c r="P137" s="101"/>
      <c r="Q137" s="101"/>
    </row>
    <row r="138" spans="1:17" ht="19.5">
      <c r="A138" s="101"/>
      <c r="B138" s="101"/>
      <c r="C138" s="101"/>
      <c r="D138" s="101"/>
      <c r="E138" s="101"/>
      <c r="F138" s="101"/>
      <c r="G138" s="101"/>
      <c r="H138" s="101"/>
      <c r="I138" s="101"/>
      <c r="J138" s="101"/>
      <c r="K138" s="101"/>
      <c r="L138" s="101"/>
      <c r="M138" s="101"/>
      <c r="N138" s="101"/>
      <c r="O138" s="101"/>
      <c r="P138" s="101"/>
      <c r="Q138" s="101"/>
    </row>
    <row r="139" spans="1:17" ht="19.5">
      <c r="A139" s="101"/>
      <c r="B139" s="101"/>
      <c r="C139" s="101"/>
      <c r="D139" s="101"/>
      <c r="E139" s="101"/>
      <c r="F139" s="101"/>
      <c r="G139" s="101"/>
      <c r="H139" s="101"/>
      <c r="I139" s="101"/>
      <c r="J139" s="101"/>
      <c r="K139" s="101"/>
      <c r="L139" s="101"/>
      <c r="M139" s="101"/>
      <c r="N139" s="101"/>
      <c r="O139" s="101"/>
      <c r="P139" s="101"/>
      <c r="Q139" s="101"/>
    </row>
    <row r="140" spans="1:17" ht="19.5">
      <c r="A140" s="101"/>
      <c r="B140" s="101"/>
      <c r="C140" s="101"/>
      <c r="D140" s="101"/>
      <c r="E140" s="101"/>
      <c r="F140" s="101"/>
      <c r="G140" s="101"/>
      <c r="H140" s="101"/>
      <c r="I140" s="101"/>
      <c r="J140" s="101"/>
      <c r="K140" s="101"/>
      <c r="L140" s="101"/>
      <c r="M140" s="101"/>
      <c r="N140" s="101"/>
      <c r="O140" s="101"/>
      <c r="P140" s="101"/>
      <c r="Q140" s="101"/>
    </row>
    <row r="141" spans="1:17" ht="19.5">
      <c r="A141" s="101"/>
      <c r="B141" s="101"/>
      <c r="C141" s="101"/>
      <c r="D141" s="101"/>
      <c r="E141" s="101"/>
      <c r="F141" s="101"/>
      <c r="G141" s="101"/>
      <c r="H141" s="101"/>
      <c r="I141" s="101"/>
      <c r="J141" s="101"/>
      <c r="K141" s="101"/>
      <c r="L141" s="101"/>
      <c r="M141" s="101"/>
      <c r="N141" s="101"/>
      <c r="O141" s="101"/>
      <c r="P141" s="101"/>
      <c r="Q141" s="101"/>
    </row>
    <row r="142" spans="1:17" ht="19.5">
      <c r="A142" s="101"/>
      <c r="B142" s="101"/>
      <c r="C142" s="101"/>
      <c r="D142" s="101"/>
      <c r="E142" s="101"/>
      <c r="F142" s="101"/>
      <c r="G142" s="101"/>
      <c r="H142" s="101"/>
      <c r="I142" s="101"/>
      <c r="J142" s="101"/>
      <c r="K142" s="101"/>
      <c r="L142" s="101"/>
      <c r="M142" s="101"/>
      <c r="N142" s="101"/>
      <c r="O142" s="101"/>
      <c r="P142" s="101"/>
      <c r="Q142" s="101"/>
    </row>
    <row r="143" spans="1:17" ht="19.5">
      <c r="A143" s="101"/>
      <c r="B143" s="101"/>
      <c r="C143" s="101"/>
      <c r="D143" s="101"/>
      <c r="E143" s="101"/>
      <c r="F143" s="101"/>
      <c r="G143" s="101"/>
      <c r="H143" s="101"/>
      <c r="I143" s="101"/>
      <c r="J143" s="101"/>
      <c r="K143" s="101"/>
      <c r="L143" s="101"/>
      <c r="M143" s="101"/>
      <c r="N143" s="101"/>
      <c r="O143" s="101"/>
      <c r="P143" s="101"/>
      <c r="Q143" s="101"/>
    </row>
    <row r="144" spans="1:17" ht="19.5">
      <c r="A144" s="101"/>
      <c r="B144" s="101"/>
      <c r="C144" s="101"/>
      <c r="D144" s="101"/>
      <c r="E144" s="101"/>
      <c r="F144" s="101"/>
      <c r="G144" s="101"/>
      <c r="H144" s="101"/>
      <c r="I144" s="101"/>
      <c r="J144" s="101"/>
      <c r="K144" s="101"/>
      <c r="L144" s="101"/>
      <c r="M144" s="101"/>
      <c r="N144" s="101"/>
      <c r="O144" s="101"/>
      <c r="P144" s="101"/>
      <c r="Q144" s="101"/>
    </row>
    <row r="145" spans="1:17" ht="19.5">
      <c r="A145" s="101"/>
      <c r="B145" s="101"/>
      <c r="C145" s="101"/>
      <c r="D145" s="101"/>
      <c r="E145" s="101"/>
      <c r="F145" s="101"/>
      <c r="G145" s="101"/>
      <c r="H145" s="101"/>
      <c r="I145" s="101"/>
      <c r="J145" s="101"/>
      <c r="K145" s="101"/>
      <c r="L145" s="101"/>
      <c r="M145" s="101"/>
      <c r="N145" s="101"/>
      <c r="O145" s="101"/>
      <c r="P145" s="101"/>
      <c r="Q145" s="101"/>
    </row>
    <row r="146" spans="1:17" ht="19.5">
      <c r="A146" s="101"/>
      <c r="B146" s="101"/>
      <c r="C146" s="101"/>
      <c r="D146" s="101"/>
      <c r="E146" s="101"/>
      <c r="F146" s="101"/>
      <c r="G146" s="101"/>
      <c r="H146" s="101"/>
      <c r="I146" s="101"/>
      <c r="J146" s="101"/>
      <c r="K146" s="101"/>
      <c r="L146" s="101"/>
      <c r="M146" s="101"/>
      <c r="N146" s="101"/>
      <c r="O146" s="101"/>
      <c r="P146" s="101"/>
      <c r="Q146" s="101"/>
    </row>
    <row r="147" spans="1:17" ht="19.5">
      <c r="A147" s="101"/>
      <c r="B147" s="101"/>
      <c r="C147" s="101"/>
      <c r="D147" s="101"/>
      <c r="E147" s="101"/>
      <c r="F147" s="101"/>
      <c r="G147" s="101"/>
      <c r="H147" s="101"/>
      <c r="I147" s="101"/>
      <c r="J147" s="101"/>
      <c r="K147" s="101"/>
      <c r="L147" s="101"/>
      <c r="M147" s="101"/>
      <c r="N147" s="101"/>
      <c r="O147" s="101"/>
      <c r="P147" s="101"/>
      <c r="Q147" s="101"/>
    </row>
    <row r="148" spans="1:17" ht="19.5">
      <c r="A148" s="101"/>
      <c r="B148" s="101"/>
      <c r="C148" s="101"/>
      <c r="D148" s="101"/>
      <c r="E148" s="101"/>
      <c r="F148" s="101"/>
      <c r="G148" s="101"/>
      <c r="H148" s="101"/>
      <c r="I148" s="101"/>
      <c r="J148" s="101"/>
      <c r="K148" s="101"/>
      <c r="L148" s="101"/>
      <c r="M148" s="101"/>
      <c r="N148" s="101"/>
      <c r="O148" s="101"/>
      <c r="P148" s="101"/>
      <c r="Q148" s="101"/>
    </row>
    <row r="149" spans="1:17" ht="19.5">
      <c r="A149" s="101"/>
      <c r="B149" s="101"/>
      <c r="C149" s="101"/>
      <c r="D149" s="101"/>
      <c r="E149" s="101"/>
      <c r="F149" s="101"/>
      <c r="G149" s="101"/>
      <c r="H149" s="101"/>
      <c r="I149" s="101"/>
      <c r="J149" s="101"/>
      <c r="K149" s="101"/>
      <c r="L149" s="101"/>
      <c r="M149" s="101"/>
      <c r="N149" s="101"/>
      <c r="O149" s="101"/>
      <c r="P149" s="101"/>
      <c r="Q149" s="101"/>
    </row>
    <row r="150" spans="1:17" ht="19.5">
      <c r="A150" s="101"/>
      <c r="B150" s="101"/>
      <c r="C150" s="101"/>
      <c r="D150" s="101"/>
      <c r="E150" s="101"/>
      <c r="F150" s="101"/>
      <c r="G150" s="101"/>
      <c r="H150" s="101"/>
      <c r="I150" s="101"/>
      <c r="J150" s="101"/>
      <c r="K150" s="101"/>
      <c r="L150" s="101"/>
      <c r="M150" s="101"/>
      <c r="N150" s="101"/>
      <c r="O150" s="101"/>
      <c r="P150" s="101"/>
      <c r="Q150" s="101"/>
    </row>
    <row r="151" spans="1:17" ht="19.5">
      <c r="A151" s="101"/>
      <c r="B151" s="101"/>
      <c r="C151" s="101"/>
      <c r="D151" s="101"/>
      <c r="E151" s="101"/>
      <c r="F151" s="101"/>
      <c r="G151" s="101"/>
      <c r="H151" s="101"/>
      <c r="I151" s="101"/>
      <c r="J151" s="101"/>
      <c r="K151" s="101"/>
      <c r="L151" s="101"/>
      <c r="M151" s="101"/>
      <c r="N151" s="101"/>
      <c r="O151" s="101"/>
      <c r="P151" s="101"/>
      <c r="Q151" s="101"/>
    </row>
    <row r="152" spans="1:17" ht="19.5">
      <c r="A152" s="101"/>
      <c r="B152" s="101"/>
      <c r="C152" s="101"/>
      <c r="D152" s="101"/>
      <c r="E152" s="101"/>
      <c r="F152" s="101"/>
      <c r="G152" s="101"/>
      <c r="H152" s="101"/>
      <c r="I152" s="101"/>
      <c r="J152" s="101"/>
      <c r="K152" s="101"/>
      <c r="L152" s="101"/>
      <c r="M152" s="101"/>
      <c r="N152" s="101"/>
      <c r="O152" s="101"/>
      <c r="P152" s="101"/>
      <c r="Q152" s="101"/>
    </row>
    <row r="153" spans="1:17" ht="19.5">
      <c r="A153" s="101"/>
      <c r="B153" s="101"/>
      <c r="C153" s="101"/>
      <c r="D153" s="101"/>
      <c r="E153" s="101"/>
      <c r="F153" s="101"/>
      <c r="G153" s="101"/>
      <c r="H153" s="101"/>
      <c r="I153" s="101"/>
      <c r="J153" s="101"/>
      <c r="K153" s="101"/>
      <c r="L153" s="101"/>
      <c r="M153" s="101"/>
      <c r="N153" s="101"/>
      <c r="O153" s="101"/>
      <c r="P153" s="101"/>
      <c r="Q153" s="101"/>
    </row>
    <row r="154" spans="1:17" ht="19.5">
      <c r="A154" s="101"/>
      <c r="B154" s="101"/>
      <c r="C154" s="101"/>
      <c r="D154" s="101"/>
      <c r="E154" s="101"/>
      <c r="F154" s="101"/>
      <c r="G154" s="101"/>
      <c r="H154" s="101"/>
      <c r="I154" s="101"/>
      <c r="J154" s="101"/>
      <c r="K154" s="101"/>
      <c r="L154" s="101"/>
      <c r="M154" s="101"/>
      <c r="N154" s="101"/>
      <c r="O154" s="101"/>
      <c r="P154" s="101"/>
      <c r="Q154" s="101"/>
    </row>
    <row r="155" spans="1:17" ht="19.5">
      <c r="A155" s="101"/>
      <c r="B155" s="101"/>
      <c r="C155" s="101"/>
      <c r="D155" s="101"/>
      <c r="E155" s="101"/>
      <c r="F155" s="101"/>
      <c r="G155" s="101"/>
      <c r="H155" s="101"/>
      <c r="I155" s="101"/>
      <c r="J155" s="101"/>
      <c r="K155" s="101"/>
      <c r="L155" s="101"/>
      <c r="M155" s="101"/>
      <c r="N155" s="101"/>
      <c r="O155" s="101"/>
      <c r="P155" s="101"/>
      <c r="Q155" s="101"/>
    </row>
    <row r="156" spans="1:17" ht="19.5">
      <c r="A156" s="101"/>
      <c r="B156" s="101"/>
      <c r="C156" s="101"/>
      <c r="D156" s="101"/>
      <c r="E156" s="101"/>
      <c r="F156" s="101"/>
      <c r="G156" s="101"/>
      <c r="H156" s="101"/>
      <c r="I156" s="101"/>
      <c r="J156" s="101"/>
      <c r="K156" s="101"/>
      <c r="L156" s="101"/>
      <c r="M156" s="101"/>
      <c r="N156" s="101"/>
      <c r="O156" s="101"/>
      <c r="P156" s="101"/>
      <c r="Q156" s="101"/>
    </row>
    <row r="157" spans="1:17" ht="19.5">
      <c r="A157" s="101"/>
      <c r="B157" s="101"/>
      <c r="C157" s="101"/>
      <c r="D157" s="101"/>
      <c r="E157" s="101"/>
      <c r="F157" s="101"/>
      <c r="G157" s="101"/>
      <c r="H157" s="101"/>
      <c r="I157" s="101"/>
      <c r="J157" s="101"/>
      <c r="K157" s="101"/>
      <c r="L157" s="101"/>
      <c r="M157" s="101"/>
      <c r="N157" s="101"/>
      <c r="O157" s="101"/>
      <c r="P157" s="101"/>
      <c r="Q157" s="101"/>
    </row>
    <row r="158" spans="1:17" ht="19.5">
      <c r="A158" s="101"/>
      <c r="B158" s="101"/>
      <c r="C158" s="101"/>
      <c r="D158" s="101"/>
      <c r="E158" s="101"/>
      <c r="F158" s="101"/>
      <c r="G158" s="101"/>
      <c r="H158" s="101"/>
      <c r="I158" s="101"/>
      <c r="J158" s="101"/>
      <c r="K158" s="101"/>
      <c r="L158" s="101"/>
      <c r="M158" s="101"/>
      <c r="N158" s="101"/>
      <c r="O158" s="101"/>
      <c r="P158" s="101"/>
      <c r="Q158" s="101"/>
    </row>
    <row r="159" spans="1:17" ht="19.5">
      <c r="A159" s="101"/>
      <c r="B159" s="101"/>
      <c r="C159" s="101"/>
      <c r="D159" s="101"/>
      <c r="E159" s="101"/>
      <c r="F159" s="101"/>
      <c r="G159" s="101"/>
      <c r="H159" s="101"/>
      <c r="I159" s="101"/>
      <c r="J159" s="101"/>
      <c r="K159" s="101"/>
      <c r="L159" s="101"/>
      <c r="M159" s="101"/>
      <c r="N159" s="101"/>
      <c r="O159" s="101"/>
      <c r="P159" s="101"/>
      <c r="Q159" s="101"/>
    </row>
    <row r="160" spans="1:17" ht="19.5">
      <c r="A160" s="101"/>
      <c r="B160" s="101"/>
      <c r="C160" s="101"/>
      <c r="D160" s="101"/>
      <c r="E160" s="101"/>
      <c r="F160" s="101"/>
      <c r="G160" s="101"/>
      <c r="H160" s="101"/>
      <c r="I160" s="101"/>
      <c r="J160" s="101"/>
      <c r="K160" s="101"/>
      <c r="L160" s="101"/>
      <c r="M160" s="101"/>
      <c r="N160" s="101"/>
      <c r="O160" s="101"/>
      <c r="P160" s="101"/>
      <c r="Q160" s="101"/>
    </row>
    <row r="161" spans="1:17" ht="19.5">
      <c r="A161" s="101"/>
      <c r="B161" s="101"/>
      <c r="C161" s="101"/>
      <c r="D161" s="101"/>
      <c r="E161" s="101"/>
      <c r="F161" s="101"/>
      <c r="G161" s="101"/>
      <c r="H161" s="101"/>
      <c r="I161" s="101"/>
      <c r="J161" s="101"/>
      <c r="K161" s="101"/>
      <c r="L161" s="101"/>
      <c r="M161" s="101"/>
      <c r="N161" s="101"/>
      <c r="O161" s="101"/>
      <c r="P161" s="101"/>
      <c r="Q161" s="101"/>
    </row>
    <row r="162" spans="1:17" ht="19.5">
      <c r="A162" s="101"/>
      <c r="B162" s="101"/>
      <c r="C162" s="101"/>
      <c r="D162" s="101"/>
      <c r="E162" s="101"/>
      <c r="F162" s="101"/>
      <c r="G162" s="101"/>
      <c r="H162" s="101"/>
      <c r="I162" s="101"/>
      <c r="J162" s="101"/>
      <c r="K162" s="101"/>
      <c r="L162" s="101"/>
      <c r="M162" s="101"/>
      <c r="N162" s="101"/>
      <c r="O162" s="101"/>
      <c r="P162" s="101"/>
      <c r="Q162" s="101"/>
    </row>
    <row r="163" spans="1:17" ht="19.5">
      <c r="A163" s="101"/>
      <c r="B163" s="101"/>
      <c r="C163" s="101"/>
      <c r="D163" s="101"/>
      <c r="E163" s="101"/>
      <c r="F163" s="101"/>
      <c r="G163" s="101"/>
      <c r="H163" s="101"/>
      <c r="I163" s="101"/>
      <c r="J163" s="101"/>
      <c r="K163" s="101"/>
      <c r="L163" s="101"/>
      <c r="M163" s="101"/>
      <c r="N163" s="101"/>
      <c r="O163" s="101"/>
      <c r="P163" s="101"/>
      <c r="Q163" s="101"/>
    </row>
    <row r="164" spans="1:17" ht="19.5">
      <c r="A164" s="101"/>
      <c r="B164" s="101"/>
      <c r="C164" s="101"/>
      <c r="D164" s="101"/>
      <c r="E164" s="101"/>
      <c r="F164" s="101"/>
      <c r="G164" s="101"/>
      <c r="H164" s="101"/>
      <c r="I164" s="101"/>
      <c r="J164" s="101"/>
      <c r="K164" s="101"/>
      <c r="L164" s="101"/>
      <c r="M164" s="101"/>
      <c r="N164" s="101"/>
      <c r="O164" s="101"/>
      <c r="P164" s="101"/>
      <c r="Q164" s="101"/>
    </row>
    <row r="165" spans="1:17" ht="19.5">
      <c r="A165" s="101"/>
      <c r="B165" s="101"/>
      <c r="C165" s="101"/>
      <c r="D165" s="101"/>
      <c r="E165" s="101"/>
      <c r="F165" s="101"/>
      <c r="G165" s="101"/>
      <c r="H165" s="101"/>
      <c r="I165" s="101"/>
      <c r="J165" s="101"/>
      <c r="K165" s="101"/>
      <c r="L165" s="101"/>
      <c r="M165" s="101"/>
      <c r="N165" s="101"/>
      <c r="O165" s="101"/>
      <c r="P165" s="101"/>
      <c r="Q165" s="101"/>
    </row>
    <row r="166" spans="1:17" ht="19.5">
      <c r="A166" s="101"/>
      <c r="B166" s="101"/>
      <c r="C166" s="101"/>
      <c r="D166" s="101"/>
      <c r="E166" s="101"/>
      <c r="F166" s="101"/>
      <c r="G166" s="101"/>
      <c r="H166" s="101"/>
      <c r="I166" s="101"/>
      <c r="J166" s="101"/>
      <c r="K166" s="101"/>
      <c r="L166" s="101"/>
      <c r="M166" s="101"/>
      <c r="N166" s="101"/>
      <c r="O166" s="101"/>
      <c r="P166" s="101"/>
      <c r="Q166" s="101"/>
    </row>
    <row r="167" spans="1:17" ht="19.5">
      <c r="A167" s="101"/>
      <c r="B167" s="101"/>
      <c r="C167" s="101"/>
      <c r="D167" s="101"/>
      <c r="E167" s="101"/>
      <c r="F167" s="101"/>
      <c r="G167" s="101"/>
      <c r="H167" s="101"/>
      <c r="I167" s="101"/>
      <c r="J167" s="101"/>
      <c r="K167" s="101"/>
      <c r="L167" s="101"/>
      <c r="M167" s="101"/>
      <c r="N167" s="101"/>
      <c r="O167" s="101"/>
      <c r="P167" s="101"/>
      <c r="Q167" s="101"/>
    </row>
    <row r="168" spans="1:17" ht="19.5">
      <c r="A168" s="101"/>
      <c r="B168" s="101"/>
      <c r="C168" s="101"/>
      <c r="D168" s="101"/>
      <c r="E168" s="101"/>
      <c r="F168" s="101"/>
      <c r="G168" s="101"/>
      <c r="H168" s="101"/>
      <c r="I168" s="101"/>
      <c r="J168" s="101"/>
      <c r="K168" s="101"/>
      <c r="L168" s="101"/>
      <c r="M168" s="101"/>
      <c r="N168" s="101"/>
      <c r="O168" s="101"/>
      <c r="P168" s="101"/>
      <c r="Q168" s="101"/>
    </row>
    <row r="169" spans="1:17" ht="19.5">
      <c r="A169" s="101"/>
      <c r="B169" s="101"/>
      <c r="C169" s="101"/>
      <c r="D169" s="101"/>
      <c r="E169" s="101"/>
      <c r="F169" s="101"/>
      <c r="G169" s="101"/>
      <c r="H169" s="101"/>
      <c r="I169" s="101"/>
      <c r="J169" s="101"/>
      <c r="K169" s="101"/>
      <c r="L169" s="101"/>
      <c r="M169" s="101"/>
      <c r="N169" s="101"/>
      <c r="O169" s="101"/>
      <c r="P169" s="101"/>
      <c r="Q169" s="101"/>
    </row>
    <row r="170" spans="1:17" ht="19.5">
      <c r="A170" s="101"/>
      <c r="B170" s="101"/>
      <c r="C170" s="101"/>
      <c r="D170" s="101"/>
      <c r="E170" s="101"/>
      <c r="F170" s="101"/>
      <c r="G170" s="101"/>
      <c r="H170" s="101"/>
      <c r="I170" s="101"/>
      <c r="J170" s="101"/>
      <c r="K170" s="101"/>
      <c r="L170" s="101"/>
      <c r="M170" s="101"/>
      <c r="N170" s="101"/>
      <c r="O170" s="101"/>
      <c r="P170" s="101"/>
      <c r="Q170" s="101"/>
    </row>
    <row r="171" spans="1:17" ht="19.5">
      <c r="A171" s="101"/>
      <c r="B171" s="101"/>
      <c r="C171" s="101"/>
      <c r="D171" s="101"/>
      <c r="E171" s="101"/>
      <c r="F171" s="101"/>
      <c r="G171" s="101"/>
      <c r="H171" s="101"/>
      <c r="I171" s="101"/>
      <c r="J171" s="101"/>
      <c r="K171" s="101"/>
      <c r="L171" s="101"/>
      <c r="M171" s="101"/>
      <c r="N171" s="101"/>
      <c r="O171" s="101"/>
      <c r="P171" s="101"/>
      <c r="Q171" s="101"/>
    </row>
    <row r="172" spans="1:17" ht="19.5">
      <c r="A172" s="101"/>
      <c r="B172" s="101"/>
      <c r="C172" s="101"/>
      <c r="D172" s="101"/>
      <c r="E172" s="101"/>
      <c r="F172" s="101"/>
      <c r="G172" s="101"/>
      <c r="H172" s="101"/>
      <c r="I172" s="101"/>
      <c r="J172" s="101"/>
      <c r="K172" s="101"/>
      <c r="L172" s="101"/>
      <c r="M172" s="101"/>
      <c r="N172" s="101"/>
      <c r="O172" s="101"/>
      <c r="P172" s="101"/>
      <c r="Q172" s="101"/>
    </row>
    <row r="173" spans="1:17" ht="19.5">
      <c r="A173" s="101"/>
      <c r="B173" s="101"/>
      <c r="C173" s="101"/>
      <c r="D173" s="101"/>
      <c r="E173" s="101"/>
      <c r="F173" s="101"/>
      <c r="G173" s="101"/>
      <c r="H173" s="101"/>
      <c r="I173" s="101"/>
      <c r="J173" s="101"/>
      <c r="K173" s="101"/>
      <c r="L173" s="101"/>
      <c r="M173" s="101"/>
      <c r="N173" s="101"/>
      <c r="O173" s="101"/>
      <c r="P173" s="101"/>
      <c r="Q173" s="101"/>
    </row>
    <row r="174" spans="1:17" ht="19.5">
      <c r="A174" s="101"/>
      <c r="B174" s="101"/>
      <c r="C174" s="101"/>
      <c r="D174" s="101"/>
      <c r="E174" s="101"/>
      <c r="F174" s="101"/>
      <c r="G174" s="101"/>
      <c r="H174" s="101"/>
      <c r="I174" s="101"/>
      <c r="J174" s="101"/>
      <c r="K174" s="101"/>
      <c r="L174" s="101"/>
      <c r="M174" s="101"/>
      <c r="N174" s="101"/>
      <c r="O174" s="101"/>
      <c r="P174" s="101"/>
      <c r="Q174" s="101"/>
    </row>
    <row r="175" spans="1:17" ht="19.5">
      <c r="A175" s="101"/>
      <c r="B175" s="101"/>
      <c r="C175" s="101"/>
      <c r="D175" s="101"/>
      <c r="E175" s="101"/>
      <c r="F175" s="101"/>
      <c r="G175" s="101"/>
      <c r="H175" s="101"/>
      <c r="I175" s="101"/>
      <c r="J175" s="101"/>
      <c r="K175" s="101"/>
      <c r="L175" s="101"/>
      <c r="M175" s="101"/>
      <c r="N175" s="101"/>
      <c r="O175" s="101"/>
      <c r="P175" s="101"/>
      <c r="Q175" s="101"/>
    </row>
    <row r="176" spans="1:17" ht="19.5">
      <c r="A176" s="101"/>
      <c r="B176" s="101"/>
      <c r="C176" s="101"/>
      <c r="D176" s="101"/>
      <c r="E176" s="101"/>
      <c r="F176" s="101"/>
      <c r="G176" s="101"/>
      <c r="H176" s="101"/>
      <c r="I176" s="101"/>
      <c r="J176" s="101"/>
      <c r="K176" s="101"/>
      <c r="L176" s="101"/>
      <c r="M176" s="101"/>
      <c r="N176" s="101"/>
      <c r="O176" s="101"/>
      <c r="P176" s="101"/>
      <c r="Q176" s="101"/>
    </row>
    <row r="177" spans="1:17" ht="19.5">
      <c r="A177" s="101"/>
      <c r="B177" s="101"/>
      <c r="C177" s="101"/>
      <c r="D177" s="101"/>
      <c r="E177" s="101"/>
      <c r="F177" s="101"/>
      <c r="G177" s="101"/>
      <c r="H177" s="101"/>
      <c r="I177" s="101"/>
      <c r="J177" s="101"/>
      <c r="K177" s="101"/>
      <c r="L177" s="101"/>
      <c r="M177" s="101"/>
      <c r="N177" s="101"/>
      <c r="O177" s="101"/>
      <c r="P177" s="101"/>
      <c r="Q177" s="101"/>
    </row>
    <row r="178" spans="1:17" ht="19.5">
      <c r="A178" s="101"/>
      <c r="B178" s="101"/>
      <c r="C178" s="101"/>
      <c r="D178" s="101"/>
      <c r="E178" s="101"/>
      <c r="F178" s="101"/>
      <c r="G178" s="101"/>
      <c r="H178" s="101"/>
      <c r="I178" s="101"/>
      <c r="J178" s="101"/>
      <c r="K178" s="101"/>
      <c r="L178" s="101"/>
      <c r="M178" s="101"/>
      <c r="N178" s="101"/>
      <c r="O178" s="101"/>
      <c r="P178" s="101"/>
      <c r="Q178" s="101"/>
    </row>
    <row r="179" spans="1:17" ht="19.5">
      <c r="A179" s="101"/>
      <c r="B179" s="101"/>
      <c r="C179" s="101"/>
      <c r="D179" s="101"/>
      <c r="E179" s="101"/>
      <c r="F179" s="101"/>
      <c r="G179" s="101"/>
      <c r="H179" s="101"/>
      <c r="I179" s="101"/>
      <c r="J179" s="101"/>
      <c r="K179" s="101"/>
      <c r="L179" s="101"/>
      <c r="M179" s="101"/>
      <c r="N179" s="101"/>
      <c r="O179" s="101"/>
      <c r="P179" s="101"/>
      <c r="Q179" s="101"/>
    </row>
    <row r="180" spans="1:17" ht="19.5">
      <c r="A180" s="101"/>
      <c r="B180" s="101"/>
      <c r="C180" s="101"/>
      <c r="D180" s="101"/>
      <c r="E180" s="101"/>
      <c r="F180" s="101"/>
      <c r="G180" s="101"/>
      <c r="H180" s="101"/>
      <c r="I180" s="101"/>
      <c r="J180" s="101"/>
      <c r="K180" s="101"/>
      <c r="L180" s="101"/>
      <c r="M180" s="101"/>
      <c r="N180" s="101"/>
      <c r="O180" s="101"/>
      <c r="P180" s="101"/>
      <c r="Q180" s="101"/>
    </row>
    <row r="181" spans="1:17" ht="19.5">
      <c r="A181" s="101"/>
      <c r="B181" s="101"/>
      <c r="C181" s="101"/>
      <c r="D181" s="101"/>
      <c r="E181" s="101"/>
      <c r="F181" s="101"/>
      <c r="G181" s="101"/>
      <c r="H181" s="101"/>
      <c r="I181" s="101"/>
      <c r="J181" s="101"/>
      <c r="K181" s="101"/>
      <c r="L181" s="101"/>
      <c r="M181" s="101"/>
      <c r="N181" s="101"/>
      <c r="O181" s="101"/>
      <c r="P181" s="101"/>
      <c r="Q181" s="101"/>
    </row>
    <row r="182" spans="1:17" ht="19.5">
      <c r="A182" s="101"/>
      <c r="B182" s="101"/>
      <c r="C182" s="101"/>
      <c r="D182" s="101"/>
      <c r="E182" s="101"/>
      <c r="F182" s="101"/>
      <c r="G182" s="101"/>
      <c r="H182" s="101"/>
      <c r="I182" s="101"/>
      <c r="J182" s="101"/>
      <c r="K182" s="101"/>
      <c r="L182" s="101"/>
      <c r="M182" s="101"/>
      <c r="N182" s="101"/>
      <c r="O182" s="101"/>
      <c r="P182" s="101"/>
      <c r="Q182" s="101"/>
    </row>
    <row r="183" spans="1:17" ht="19.5">
      <c r="A183" s="101"/>
      <c r="B183" s="101"/>
      <c r="C183" s="101"/>
      <c r="D183" s="101"/>
      <c r="E183" s="101"/>
      <c r="F183" s="101"/>
      <c r="G183" s="101"/>
      <c r="H183" s="101"/>
      <c r="I183" s="101"/>
      <c r="J183" s="101"/>
      <c r="K183" s="101"/>
      <c r="L183" s="101"/>
      <c r="M183" s="101"/>
      <c r="N183" s="101"/>
      <c r="O183" s="101"/>
      <c r="P183" s="101"/>
      <c r="Q183" s="101"/>
    </row>
    <row r="184" spans="1:17" ht="19.5">
      <c r="A184" s="101"/>
      <c r="B184" s="101"/>
      <c r="C184" s="101"/>
      <c r="D184" s="101"/>
      <c r="E184" s="101"/>
      <c r="F184" s="101"/>
      <c r="G184" s="101"/>
      <c r="H184" s="101"/>
      <c r="I184" s="101"/>
      <c r="J184" s="101"/>
      <c r="K184" s="101"/>
      <c r="L184" s="101"/>
      <c r="M184" s="101"/>
      <c r="N184" s="101"/>
      <c r="O184" s="101"/>
      <c r="P184" s="101"/>
      <c r="Q184" s="101"/>
    </row>
    <row r="185" spans="1:17" ht="19.5">
      <c r="A185" s="101"/>
      <c r="B185" s="101"/>
      <c r="C185" s="101"/>
      <c r="D185" s="101"/>
      <c r="E185" s="101"/>
      <c r="F185" s="101"/>
      <c r="G185" s="101"/>
      <c r="H185" s="101"/>
      <c r="I185" s="101"/>
      <c r="J185" s="101"/>
      <c r="K185" s="101"/>
      <c r="L185" s="101"/>
      <c r="M185" s="101"/>
      <c r="N185" s="101"/>
      <c r="O185" s="101"/>
      <c r="P185" s="101"/>
      <c r="Q185" s="101"/>
    </row>
    <row r="186" spans="1:17" ht="19.5">
      <c r="A186" s="101"/>
      <c r="B186" s="101"/>
      <c r="C186" s="101"/>
      <c r="D186" s="101"/>
      <c r="E186" s="101"/>
      <c r="F186" s="101"/>
      <c r="G186" s="101"/>
      <c r="H186" s="101"/>
      <c r="I186" s="101"/>
      <c r="J186" s="101"/>
      <c r="K186" s="101"/>
      <c r="L186" s="101"/>
      <c r="M186" s="101"/>
      <c r="N186" s="101"/>
      <c r="O186" s="101"/>
      <c r="P186" s="101"/>
      <c r="Q186" s="101"/>
    </row>
    <row r="187" spans="1:17" ht="19.5">
      <c r="A187" s="101"/>
      <c r="B187" s="101"/>
      <c r="C187" s="101"/>
      <c r="D187" s="101"/>
      <c r="E187" s="101"/>
      <c r="F187" s="101"/>
      <c r="G187" s="101"/>
      <c r="H187" s="101"/>
      <c r="I187" s="101"/>
      <c r="J187" s="101"/>
      <c r="K187" s="101"/>
      <c r="L187" s="101"/>
      <c r="M187" s="101"/>
      <c r="N187" s="101"/>
      <c r="O187" s="101"/>
      <c r="P187" s="101"/>
      <c r="Q187" s="101"/>
    </row>
    <row r="188" spans="1:17" ht="19.5">
      <c r="A188" s="101"/>
      <c r="B188" s="101"/>
      <c r="C188" s="101"/>
      <c r="D188" s="101"/>
      <c r="E188" s="101"/>
      <c r="F188" s="101"/>
      <c r="G188" s="101"/>
      <c r="H188" s="101"/>
      <c r="I188" s="101"/>
      <c r="J188" s="101"/>
      <c r="K188" s="101"/>
      <c r="L188" s="101"/>
      <c r="M188" s="101"/>
      <c r="N188" s="101"/>
      <c r="O188" s="101"/>
      <c r="P188" s="101"/>
      <c r="Q188" s="101"/>
    </row>
    <row r="189" spans="1:17" ht="19.5">
      <c r="A189" s="101"/>
      <c r="B189" s="101"/>
      <c r="C189" s="101"/>
      <c r="D189" s="101"/>
      <c r="E189" s="101"/>
      <c r="F189" s="101"/>
      <c r="G189" s="101"/>
      <c r="H189" s="101"/>
      <c r="I189" s="101"/>
      <c r="J189" s="101"/>
      <c r="K189" s="101"/>
      <c r="L189" s="101"/>
      <c r="M189" s="101"/>
      <c r="N189" s="101"/>
      <c r="O189" s="101"/>
      <c r="P189" s="101"/>
      <c r="Q189" s="101"/>
    </row>
    <row r="190" spans="1:17" ht="19.5">
      <c r="A190" s="101"/>
      <c r="B190" s="101"/>
      <c r="C190" s="101"/>
      <c r="D190" s="101"/>
      <c r="E190" s="101"/>
      <c r="F190" s="101"/>
      <c r="G190" s="101"/>
      <c r="H190" s="101"/>
      <c r="I190" s="101"/>
      <c r="J190" s="101"/>
      <c r="K190" s="101"/>
      <c r="L190" s="101"/>
      <c r="M190" s="101"/>
      <c r="N190" s="101"/>
      <c r="O190" s="101"/>
      <c r="P190" s="101"/>
      <c r="Q190" s="101"/>
    </row>
    <row r="191" spans="1:17" ht="19.5">
      <c r="A191" s="101"/>
      <c r="B191" s="101"/>
      <c r="C191" s="101"/>
      <c r="D191" s="101"/>
      <c r="E191" s="101"/>
      <c r="F191" s="101"/>
      <c r="G191" s="101"/>
      <c r="H191" s="101"/>
      <c r="I191" s="101"/>
      <c r="J191" s="101"/>
      <c r="K191" s="101"/>
      <c r="L191" s="101"/>
      <c r="M191" s="101"/>
      <c r="N191" s="101"/>
      <c r="O191" s="101"/>
      <c r="P191" s="101"/>
      <c r="Q191" s="101"/>
    </row>
    <row r="192" spans="1:17" ht="19.5">
      <c r="A192" s="101"/>
      <c r="B192" s="101"/>
      <c r="C192" s="101"/>
      <c r="D192" s="101"/>
      <c r="E192" s="101"/>
      <c r="F192" s="101"/>
      <c r="G192" s="101"/>
      <c r="H192" s="101"/>
      <c r="I192" s="101"/>
      <c r="J192" s="101"/>
      <c r="K192" s="101"/>
      <c r="L192" s="101"/>
      <c r="M192" s="101"/>
      <c r="N192" s="101"/>
      <c r="O192" s="101"/>
      <c r="P192" s="101"/>
      <c r="Q192" s="101"/>
    </row>
    <row r="193" spans="1:17" ht="19.5">
      <c r="A193" s="101"/>
      <c r="B193" s="101"/>
      <c r="C193" s="101"/>
      <c r="D193" s="101"/>
      <c r="E193" s="101"/>
      <c r="F193" s="101"/>
      <c r="G193" s="101"/>
      <c r="H193" s="101"/>
      <c r="I193" s="101"/>
      <c r="J193" s="101"/>
      <c r="K193" s="101"/>
      <c r="L193" s="101"/>
      <c r="M193" s="101"/>
      <c r="N193" s="101"/>
      <c r="O193" s="101"/>
      <c r="P193" s="101"/>
      <c r="Q193" s="101"/>
    </row>
    <row r="194" spans="1:17" ht="19.5">
      <c r="A194" s="101"/>
      <c r="B194" s="101"/>
      <c r="C194" s="101"/>
      <c r="D194" s="101"/>
      <c r="E194" s="101"/>
      <c r="F194" s="101"/>
      <c r="G194" s="101"/>
      <c r="H194" s="101"/>
      <c r="I194" s="101"/>
      <c r="J194" s="101"/>
      <c r="K194" s="101"/>
      <c r="L194" s="101"/>
      <c r="M194" s="101"/>
      <c r="N194" s="101"/>
      <c r="O194" s="101"/>
      <c r="P194" s="101"/>
      <c r="Q194" s="101"/>
    </row>
    <row r="195" spans="1:17" ht="19.5">
      <c r="A195" s="101"/>
      <c r="B195" s="101"/>
      <c r="C195" s="101"/>
      <c r="D195" s="101"/>
      <c r="E195" s="101"/>
      <c r="F195" s="101"/>
      <c r="G195" s="101"/>
      <c r="H195" s="101"/>
      <c r="I195" s="101"/>
      <c r="J195" s="101"/>
      <c r="K195" s="101"/>
      <c r="L195" s="101"/>
      <c r="M195" s="101"/>
      <c r="N195" s="101"/>
      <c r="O195" s="101"/>
      <c r="P195" s="101"/>
      <c r="Q195" s="101"/>
    </row>
    <row r="196" spans="1:17" ht="19.5">
      <c r="A196" s="101"/>
      <c r="B196" s="101"/>
      <c r="C196" s="101"/>
      <c r="D196" s="101"/>
      <c r="E196" s="101"/>
      <c r="F196" s="101"/>
      <c r="G196" s="101"/>
      <c r="H196" s="101"/>
      <c r="I196" s="101"/>
      <c r="J196" s="101"/>
      <c r="K196" s="101"/>
      <c r="L196" s="101"/>
      <c r="M196" s="101"/>
      <c r="N196" s="101"/>
      <c r="O196" s="101"/>
      <c r="P196" s="101"/>
      <c r="Q196" s="101"/>
    </row>
    <row r="197" spans="1:17" ht="19.5">
      <c r="A197" s="101"/>
      <c r="B197" s="101"/>
      <c r="C197" s="101"/>
      <c r="D197" s="101"/>
      <c r="E197" s="101"/>
      <c r="F197" s="101"/>
      <c r="G197" s="101"/>
      <c r="H197" s="101"/>
      <c r="I197" s="101"/>
      <c r="J197" s="101"/>
      <c r="K197" s="101"/>
      <c r="L197" s="101"/>
      <c r="M197" s="101"/>
      <c r="N197" s="101"/>
      <c r="O197" s="101"/>
      <c r="P197" s="101"/>
      <c r="Q197" s="101"/>
    </row>
    <row r="198" spans="1:17" ht="19.5">
      <c r="A198" s="101"/>
      <c r="B198" s="101"/>
      <c r="C198" s="101"/>
      <c r="D198" s="101"/>
      <c r="E198" s="101"/>
      <c r="F198" s="101"/>
      <c r="G198" s="101"/>
      <c r="H198" s="101"/>
      <c r="I198" s="101"/>
      <c r="J198" s="101"/>
      <c r="K198" s="101"/>
      <c r="L198" s="101"/>
      <c r="M198" s="101"/>
      <c r="N198" s="101"/>
      <c r="O198" s="101"/>
      <c r="P198" s="101"/>
      <c r="Q198" s="101"/>
    </row>
    <row r="199" spans="1:17" ht="19.5">
      <c r="A199" s="101"/>
      <c r="B199" s="101"/>
      <c r="C199" s="101"/>
      <c r="D199" s="101"/>
      <c r="E199" s="101"/>
      <c r="F199" s="101"/>
      <c r="G199" s="101"/>
      <c r="H199" s="101"/>
      <c r="I199" s="101"/>
      <c r="J199" s="101"/>
      <c r="K199" s="101"/>
      <c r="L199" s="101"/>
      <c r="M199" s="101"/>
      <c r="N199" s="101"/>
      <c r="O199" s="101"/>
      <c r="P199" s="101"/>
      <c r="Q199" s="101"/>
    </row>
    <row r="200" spans="1:17" ht="19.5">
      <c r="A200" s="101"/>
      <c r="B200" s="101"/>
      <c r="C200" s="101"/>
      <c r="D200" s="101"/>
      <c r="E200" s="101"/>
      <c r="F200" s="101"/>
      <c r="G200" s="101"/>
      <c r="H200" s="101"/>
      <c r="I200" s="101"/>
      <c r="J200" s="101"/>
      <c r="K200" s="101"/>
      <c r="L200" s="101"/>
      <c r="M200" s="101"/>
      <c r="N200" s="101"/>
      <c r="O200" s="101"/>
      <c r="P200" s="101"/>
      <c r="Q200" s="101"/>
    </row>
    <row r="201" spans="1:17" ht="19.5">
      <c r="A201" s="101"/>
      <c r="B201" s="101"/>
      <c r="C201" s="101"/>
      <c r="D201" s="101"/>
      <c r="E201" s="101"/>
      <c r="F201" s="101"/>
      <c r="G201" s="101"/>
      <c r="H201" s="101"/>
      <c r="I201" s="101"/>
      <c r="J201" s="101"/>
      <c r="K201" s="101"/>
      <c r="L201" s="101"/>
      <c r="M201" s="101"/>
      <c r="N201" s="101"/>
      <c r="O201" s="101"/>
      <c r="P201" s="101"/>
      <c r="Q201" s="101"/>
    </row>
    <row r="202" spans="1:17" ht="19.5">
      <c r="A202" s="101"/>
      <c r="B202" s="101"/>
      <c r="C202" s="101"/>
      <c r="D202" s="101"/>
      <c r="E202" s="101"/>
      <c r="F202" s="101"/>
      <c r="G202" s="101"/>
      <c r="H202" s="101"/>
      <c r="I202" s="101"/>
      <c r="J202" s="101"/>
      <c r="K202" s="101"/>
      <c r="L202" s="101"/>
      <c r="M202" s="101"/>
      <c r="N202" s="101"/>
      <c r="O202" s="101"/>
      <c r="P202" s="101"/>
      <c r="Q202" s="101"/>
    </row>
    <row r="203" spans="1:17" ht="19.5">
      <c r="A203" s="101"/>
      <c r="B203" s="101"/>
      <c r="C203" s="101"/>
      <c r="D203" s="101"/>
      <c r="E203" s="101"/>
      <c r="F203" s="101"/>
      <c r="G203" s="101"/>
      <c r="H203" s="101"/>
      <c r="I203" s="101"/>
      <c r="J203" s="101"/>
      <c r="K203" s="101"/>
      <c r="L203" s="101"/>
      <c r="M203" s="101"/>
      <c r="N203" s="101"/>
      <c r="O203" s="101"/>
      <c r="P203" s="101"/>
      <c r="Q203" s="101"/>
    </row>
    <row r="204" spans="1:17" ht="19.5">
      <c r="A204" s="101"/>
      <c r="B204" s="101"/>
      <c r="C204" s="101"/>
      <c r="D204" s="101"/>
      <c r="E204" s="101"/>
      <c r="F204" s="101"/>
      <c r="G204" s="101"/>
      <c r="H204" s="101"/>
      <c r="I204" s="101"/>
      <c r="J204" s="101"/>
      <c r="K204" s="101"/>
      <c r="L204" s="101"/>
      <c r="M204" s="101"/>
      <c r="N204" s="101"/>
      <c r="O204" s="101"/>
      <c r="P204" s="101"/>
      <c r="Q204" s="101"/>
    </row>
    <row r="205" spans="1:17" ht="19.5">
      <c r="A205" s="101"/>
      <c r="B205" s="101"/>
      <c r="C205" s="101"/>
      <c r="D205" s="101"/>
      <c r="E205" s="101"/>
      <c r="F205" s="101"/>
      <c r="G205" s="101"/>
      <c r="H205" s="101"/>
      <c r="I205" s="101"/>
      <c r="J205" s="101"/>
      <c r="K205" s="101"/>
      <c r="L205" s="101"/>
      <c r="M205" s="101"/>
      <c r="N205" s="101"/>
      <c r="O205" s="101"/>
      <c r="P205" s="101"/>
      <c r="Q205" s="101"/>
    </row>
    <row r="206" spans="1:17" ht="19.5">
      <c r="A206" s="101"/>
      <c r="B206" s="101"/>
      <c r="C206" s="101"/>
      <c r="D206" s="101"/>
      <c r="E206" s="101"/>
      <c r="F206" s="101"/>
      <c r="G206" s="101"/>
      <c r="H206" s="101"/>
      <c r="I206" s="101"/>
      <c r="J206" s="101"/>
      <c r="K206" s="101"/>
      <c r="L206" s="101"/>
      <c r="M206" s="101"/>
      <c r="N206" s="101"/>
      <c r="O206" s="101"/>
      <c r="P206" s="101"/>
      <c r="Q206" s="101"/>
    </row>
    <row r="207" spans="1:17" ht="19.5">
      <c r="A207" s="101"/>
      <c r="B207" s="101"/>
      <c r="C207" s="101"/>
      <c r="D207" s="101"/>
      <c r="E207" s="101"/>
      <c r="F207" s="101"/>
      <c r="G207" s="101"/>
      <c r="H207" s="101"/>
      <c r="I207" s="101"/>
      <c r="J207" s="101"/>
      <c r="K207" s="101"/>
      <c r="L207" s="101"/>
      <c r="M207" s="101"/>
      <c r="N207" s="101"/>
      <c r="O207" s="101"/>
      <c r="P207" s="101"/>
      <c r="Q207" s="101"/>
    </row>
    <row r="208" spans="1:17" ht="19.5">
      <c r="A208" s="101"/>
      <c r="B208" s="101"/>
      <c r="C208" s="101"/>
      <c r="D208" s="101"/>
      <c r="E208" s="101"/>
      <c r="F208" s="101"/>
      <c r="G208" s="101"/>
      <c r="H208" s="101"/>
      <c r="I208" s="101"/>
      <c r="J208" s="101"/>
      <c r="K208" s="101"/>
      <c r="L208" s="101"/>
      <c r="M208" s="101"/>
      <c r="N208" s="101"/>
      <c r="O208" s="101"/>
      <c r="P208" s="101"/>
      <c r="Q208" s="101"/>
    </row>
    <row r="209" spans="1:17" ht="19.5">
      <c r="A209" s="101"/>
      <c r="B209" s="101"/>
      <c r="C209" s="101"/>
      <c r="D209" s="101"/>
      <c r="E209" s="101"/>
      <c r="F209" s="101"/>
      <c r="G209" s="101"/>
      <c r="H209" s="101"/>
      <c r="I209" s="101"/>
      <c r="J209" s="101"/>
      <c r="K209" s="101"/>
      <c r="L209" s="101"/>
      <c r="M209" s="101"/>
      <c r="N209" s="101"/>
      <c r="O209" s="101"/>
      <c r="P209" s="101"/>
      <c r="Q209" s="101"/>
    </row>
    <row r="210" spans="1:17" ht="19.5">
      <c r="A210" s="101"/>
      <c r="B210" s="101"/>
      <c r="C210" s="101"/>
      <c r="D210" s="101"/>
      <c r="E210" s="101"/>
      <c r="F210" s="101"/>
      <c r="G210" s="101"/>
      <c r="H210" s="101"/>
      <c r="I210" s="101"/>
      <c r="J210" s="101"/>
      <c r="K210" s="101"/>
      <c r="L210" s="101"/>
      <c r="M210" s="101"/>
      <c r="N210" s="101"/>
      <c r="O210" s="101"/>
      <c r="P210" s="101"/>
      <c r="Q210" s="101"/>
    </row>
    <row r="211" spans="1:17" ht="19.5">
      <c r="A211" s="101"/>
      <c r="B211" s="101"/>
      <c r="C211" s="101"/>
      <c r="D211" s="101"/>
      <c r="E211" s="101"/>
      <c r="F211" s="101"/>
      <c r="G211" s="101"/>
      <c r="H211" s="101"/>
      <c r="I211" s="101"/>
      <c r="J211" s="101"/>
      <c r="K211" s="101"/>
      <c r="L211" s="101"/>
      <c r="M211" s="101"/>
      <c r="N211" s="101"/>
      <c r="O211" s="101"/>
      <c r="P211" s="101"/>
      <c r="Q211" s="101"/>
    </row>
    <row r="212" spans="1:17" ht="19.5">
      <c r="A212" s="101"/>
      <c r="B212" s="101"/>
      <c r="C212" s="101"/>
      <c r="D212" s="101"/>
      <c r="E212" s="101"/>
      <c r="F212" s="101"/>
      <c r="G212" s="101"/>
      <c r="H212" s="101"/>
      <c r="I212" s="101"/>
      <c r="J212" s="101"/>
      <c r="K212" s="101"/>
      <c r="L212" s="101"/>
      <c r="M212" s="101"/>
      <c r="N212" s="101"/>
      <c r="O212" s="101"/>
      <c r="P212" s="101"/>
      <c r="Q212" s="101"/>
    </row>
    <row r="213" spans="1:17" ht="19.5">
      <c r="A213" s="101"/>
      <c r="B213" s="101"/>
      <c r="C213" s="101"/>
      <c r="D213" s="101"/>
      <c r="E213" s="101"/>
      <c r="F213" s="101"/>
      <c r="G213" s="101"/>
      <c r="H213" s="101"/>
      <c r="I213" s="101"/>
      <c r="J213" s="101"/>
      <c r="K213" s="101"/>
      <c r="L213" s="101"/>
      <c r="M213" s="101"/>
      <c r="N213" s="101"/>
      <c r="O213" s="101"/>
      <c r="P213" s="101"/>
      <c r="Q213" s="101"/>
    </row>
    <row r="214" spans="1:17" ht="19.5">
      <c r="A214" s="101"/>
      <c r="B214" s="101"/>
      <c r="C214" s="101"/>
      <c r="D214" s="101"/>
      <c r="E214" s="101"/>
      <c r="F214" s="101"/>
      <c r="G214" s="101"/>
      <c r="H214" s="101"/>
      <c r="I214" s="101"/>
      <c r="J214" s="101"/>
      <c r="K214" s="101"/>
      <c r="L214" s="101"/>
      <c r="M214" s="101"/>
      <c r="N214" s="101"/>
      <c r="O214" s="101"/>
      <c r="P214" s="101"/>
      <c r="Q214" s="101"/>
    </row>
    <row r="215" spans="1:17" ht="19.5">
      <c r="A215" s="101"/>
      <c r="B215" s="101"/>
      <c r="C215" s="101"/>
      <c r="D215" s="101"/>
      <c r="E215" s="101"/>
      <c r="F215" s="101"/>
      <c r="G215" s="101"/>
      <c r="H215" s="101"/>
      <c r="I215" s="101"/>
      <c r="J215" s="101"/>
      <c r="K215" s="101"/>
      <c r="L215" s="101"/>
      <c r="M215" s="101"/>
      <c r="N215" s="101"/>
      <c r="O215" s="101"/>
      <c r="P215" s="101"/>
      <c r="Q215" s="101"/>
    </row>
    <row r="216" spans="1:17" ht="19.5">
      <c r="A216" s="101"/>
      <c r="B216" s="101"/>
      <c r="C216" s="101"/>
      <c r="D216" s="101"/>
      <c r="E216" s="101"/>
      <c r="F216" s="101"/>
      <c r="G216" s="101"/>
      <c r="H216" s="101"/>
      <c r="I216" s="101"/>
      <c r="J216" s="101"/>
      <c r="K216" s="101"/>
      <c r="L216" s="101"/>
      <c r="M216" s="101"/>
      <c r="N216" s="101"/>
      <c r="O216" s="101"/>
      <c r="P216" s="101"/>
      <c r="Q216" s="101"/>
    </row>
    <row r="217" spans="1:17" ht="19.5">
      <c r="A217" s="101"/>
      <c r="B217" s="101"/>
      <c r="C217" s="101"/>
      <c r="D217" s="101"/>
      <c r="E217" s="101"/>
      <c r="F217" s="101"/>
      <c r="G217" s="101"/>
      <c r="H217" s="101"/>
      <c r="I217" s="101"/>
      <c r="J217" s="101"/>
      <c r="K217" s="101"/>
      <c r="L217" s="101"/>
      <c r="M217" s="101"/>
      <c r="N217" s="101"/>
      <c r="O217" s="101"/>
      <c r="P217" s="101"/>
      <c r="Q217" s="101"/>
    </row>
    <row r="218" spans="1:17" ht="19.5">
      <c r="A218" s="101"/>
      <c r="B218" s="101"/>
      <c r="C218" s="101"/>
      <c r="D218" s="101"/>
      <c r="E218" s="101"/>
      <c r="F218" s="101"/>
      <c r="G218" s="101"/>
      <c r="H218" s="101"/>
      <c r="I218" s="101"/>
      <c r="J218" s="101"/>
      <c r="K218" s="101"/>
      <c r="L218" s="101"/>
      <c r="M218" s="101"/>
      <c r="N218" s="101"/>
      <c r="O218" s="101"/>
      <c r="P218" s="101"/>
      <c r="Q218" s="101"/>
    </row>
    <row r="219" spans="1:17" ht="19.5">
      <c r="A219" s="101"/>
      <c r="B219" s="101"/>
      <c r="C219" s="101"/>
      <c r="D219" s="101"/>
      <c r="E219" s="101"/>
      <c r="F219" s="101"/>
      <c r="G219" s="101"/>
      <c r="H219" s="101"/>
      <c r="I219" s="101"/>
      <c r="J219" s="101"/>
      <c r="K219" s="101"/>
      <c r="L219" s="101"/>
      <c r="M219" s="101"/>
      <c r="N219" s="101"/>
      <c r="O219" s="101"/>
      <c r="P219" s="101"/>
      <c r="Q219" s="101"/>
    </row>
    <row r="220" spans="1:17" ht="19.5">
      <c r="A220" s="101"/>
      <c r="B220" s="101"/>
      <c r="C220" s="101"/>
      <c r="D220" s="101"/>
      <c r="E220" s="101"/>
      <c r="F220" s="101"/>
      <c r="G220" s="101"/>
      <c r="H220" s="101"/>
      <c r="I220" s="101"/>
      <c r="J220" s="101"/>
      <c r="K220" s="101"/>
      <c r="L220" s="101"/>
      <c r="M220" s="101"/>
      <c r="N220" s="101"/>
      <c r="O220" s="101"/>
      <c r="P220" s="101"/>
      <c r="Q220" s="101"/>
    </row>
    <row r="221" spans="1:17" ht="19.5">
      <c r="A221" s="101"/>
      <c r="B221" s="101"/>
      <c r="C221" s="101"/>
      <c r="D221" s="101"/>
      <c r="E221" s="101"/>
      <c r="F221" s="101"/>
      <c r="G221" s="101"/>
      <c r="H221" s="101"/>
      <c r="I221" s="101"/>
      <c r="J221" s="101"/>
      <c r="K221" s="101"/>
      <c r="L221" s="101"/>
      <c r="M221" s="101"/>
      <c r="N221" s="101"/>
      <c r="O221" s="101"/>
      <c r="P221" s="101"/>
      <c r="Q221" s="101"/>
    </row>
    <row r="222" spans="1:17" ht="19.5">
      <c r="A222" s="101"/>
      <c r="B222" s="101"/>
      <c r="C222" s="101"/>
      <c r="D222" s="101"/>
      <c r="E222" s="101"/>
      <c r="F222" s="101"/>
      <c r="G222" s="101"/>
      <c r="H222" s="101"/>
      <c r="I222" s="101"/>
      <c r="J222" s="101"/>
      <c r="K222" s="101"/>
      <c r="L222" s="101"/>
      <c r="M222" s="101"/>
      <c r="N222" s="101"/>
      <c r="O222" s="101"/>
      <c r="P222" s="101"/>
      <c r="Q222" s="101"/>
    </row>
    <row r="223" spans="1:17" ht="19.5">
      <c r="A223" s="101"/>
      <c r="B223" s="101"/>
      <c r="C223" s="101"/>
      <c r="D223" s="101"/>
      <c r="E223" s="101"/>
      <c r="F223" s="101"/>
      <c r="G223" s="101"/>
      <c r="H223" s="101"/>
      <c r="I223" s="101"/>
      <c r="J223" s="101"/>
      <c r="K223" s="101"/>
      <c r="L223" s="101"/>
      <c r="M223" s="101"/>
      <c r="N223" s="101"/>
      <c r="O223" s="101"/>
      <c r="P223" s="101"/>
      <c r="Q223" s="101"/>
    </row>
    <row r="224" spans="1:17" ht="19.5">
      <c r="A224" s="101"/>
      <c r="B224" s="101"/>
      <c r="C224" s="101"/>
      <c r="D224" s="101"/>
      <c r="E224" s="101"/>
      <c r="F224" s="101"/>
      <c r="G224" s="101"/>
      <c r="H224" s="101"/>
      <c r="I224" s="101"/>
      <c r="J224" s="101"/>
      <c r="K224" s="101"/>
      <c r="L224" s="101"/>
      <c r="M224" s="101"/>
      <c r="N224" s="101"/>
      <c r="O224" s="101"/>
      <c r="P224" s="101"/>
      <c r="Q224" s="101"/>
    </row>
    <row r="225" spans="1:17" ht="19.5">
      <c r="A225" s="101"/>
      <c r="B225" s="101"/>
      <c r="C225" s="101"/>
      <c r="D225" s="101"/>
      <c r="E225" s="101"/>
      <c r="F225" s="101"/>
      <c r="G225" s="101"/>
      <c r="H225" s="101"/>
      <c r="I225" s="101"/>
      <c r="J225" s="101"/>
      <c r="K225" s="101"/>
      <c r="L225" s="101"/>
      <c r="M225" s="101"/>
      <c r="N225" s="101"/>
      <c r="O225" s="101"/>
      <c r="P225" s="101"/>
      <c r="Q225" s="101"/>
    </row>
    <row r="226" spans="1:17" ht="19.5">
      <c r="A226" s="101"/>
      <c r="B226" s="101"/>
      <c r="C226" s="101"/>
      <c r="D226" s="101"/>
      <c r="E226" s="101"/>
      <c r="F226" s="101"/>
      <c r="G226" s="101"/>
      <c r="H226" s="101"/>
      <c r="I226" s="101"/>
      <c r="J226" s="101"/>
      <c r="K226" s="101"/>
      <c r="L226" s="101"/>
      <c r="M226" s="101"/>
      <c r="N226" s="101"/>
      <c r="O226" s="101"/>
      <c r="P226" s="101"/>
      <c r="Q226" s="101"/>
    </row>
    <row r="227" spans="1:17" ht="19.5">
      <c r="A227" s="101"/>
      <c r="B227" s="101"/>
      <c r="C227" s="101"/>
      <c r="D227" s="101"/>
      <c r="E227" s="101"/>
      <c r="F227" s="101"/>
      <c r="G227" s="101"/>
      <c r="H227" s="101"/>
      <c r="I227" s="101"/>
      <c r="J227" s="101"/>
      <c r="K227" s="101"/>
      <c r="L227" s="101"/>
      <c r="M227" s="101"/>
      <c r="N227" s="101"/>
      <c r="O227" s="101"/>
      <c r="P227" s="101"/>
      <c r="Q227" s="101"/>
    </row>
    <row r="228" spans="1:17" ht="19.5">
      <c r="A228" s="101"/>
      <c r="B228" s="101"/>
      <c r="C228" s="101"/>
      <c r="D228" s="101"/>
      <c r="E228" s="101"/>
      <c r="F228" s="101"/>
      <c r="G228" s="101"/>
      <c r="H228" s="101"/>
      <c r="I228" s="101"/>
      <c r="J228" s="101"/>
      <c r="K228" s="101"/>
      <c r="L228" s="101"/>
      <c r="M228" s="101"/>
      <c r="N228" s="101"/>
      <c r="O228" s="101"/>
      <c r="P228" s="101"/>
      <c r="Q228" s="101"/>
    </row>
    <row r="229" spans="1:17" ht="19.5">
      <c r="A229" s="101"/>
      <c r="B229" s="101"/>
      <c r="C229" s="101"/>
      <c r="D229" s="101"/>
      <c r="E229" s="101"/>
      <c r="F229" s="101"/>
      <c r="G229" s="101"/>
      <c r="H229" s="101"/>
      <c r="I229" s="101"/>
      <c r="J229" s="101"/>
      <c r="K229" s="101"/>
      <c r="L229" s="101"/>
      <c r="M229" s="101"/>
      <c r="N229" s="101"/>
      <c r="O229" s="101"/>
      <c r="P229" s="101"/>
      <c r="Q229" s="101"/>
    </row>
    <row r="230" spans="1:17" ht="19.5">
      <c r="A230" s="101"/>
      <c r="B230" s="101"/>
      <c r="C230" s="101"/>
      <c r="D230" s="101"/>
      <c r="E230" s="101"/>
      <c r="F230" s="101"/>
      <c r="G230" s="101"/>
      <c r="H230" s="101"/>
      <c r="I230" s="101"/>
      <c r="J230" s="101"/>
      <c r="K230" s="101"/>
      <c r="L230" s="101"/>
      <c r="M230" s="101"/>
      <c r="N230" s="101"/>
      <c r="O230" s="101"/>
      <c r="P230" s="101"/>
      <c r="Q230" s="101"/>
    </row>
    <row r="231" spans="1:17" ht="19.5">
      <c r="A231" s="101"/>
      <c r="B231" s="101"/>
      <c r="C231" s="101"/>
      <c r="D231" s="101"/>
      <c r="E231" s="101"/>
      <c r="F231" s="101"/>
      <c r="G231" s="101"/>
      <c r="H231" s="101"/>
      <c r="I231" s="101"/>
      <c r="J231" s="101"/>
      <c r="K231" s="101"/>
      <c r="L231" s="101"/>
      <c r="M231" s="101"/>
      <c r="N231" s="101"/>
      <c r="O231" s="101"/>
      <c r="P231" s="101"/>
      <c r="Q231" s="101"/>
    </row>
    <row r="232" spans="1:17" ht="19.5">
      <c r="A232" s="101"/>
      <c r="B232" s="101"/>
      <c r="C232" s="101"/>
      <c r="D232" s="101"/>
      <c r="E232" s="101"/>
      <c r="F232" s="101"/>
      <c r="G232" s="101"/>
      <c r="H232" s="101"/>
      <c r="I232" s="101"/>
      <c r="J232" s="101"/>
      <c r="K232" s="101"/>
      <c r="L232" s="101"/>
      <c r="M232" s="101"/>
      <c r="N232" s="101"/>
      <c r="O232" s="101"/>
      <c r="P232" s="101"/>
      <c r="Q232" s="101"/>
    </row>
    <row r="233" spans="1:17" ht="19.5">
      <c r="A233" s="101"/>
      <c r="B233" s="101"/>
      <c r="C233" s="101"/>
      <c r="D233" s="101"/>
      <c r="E233" s="101"/>
      <c r="F233" s="101"/>
      <c r="G233" s="101"/>
      <c r="H233" s="101"/>
      <c r="I233" s="101"/>
      <c r="J233" s="101"/>
      <c r="K233" s="101"/>
      <c r="L233" s="101"/>
      <c r="M233" s="101"/>
      <c r="N233" s="101"/>
      <c r="O233" s="101"/>
      <c r="P233" s="101"/>
      <c r="Q233" s="101"/>
    </row>
    <row r="234" spans="1:17" ht="19.5">
      <c r="A234" s="101"/>
      <c r="B234" s="101"/>
      <c r="C234" s="101"/>
      <c r="D234" s="101"/>
      <c r="E234" s="101"/>
      <c r="F234" s="101"/>
      <c r="G234" s="101"/>
      <c r="H234" s="101"/>
      <c r="I234" s="101"/>
      <c r="J234" s="101"/>
      <c r="K234" s="101"/>
      <c r="L234" s="101"/>
      <c r="M234" s="101"/>
      <c r="N234" s="101"/>
      <c r="O234" s="101"/>
      <c r="P234" s="101"/>
      <c r="Q234" s="101"/>
    </row>
    <row r="235" spans="1:17" ht="19.5">
      <c r="A235" s="101"/>
      <c r="B235" s="101"/>
      <c r="C235" s="101"/>
      <c r="D235" s="101"/>
      <c r="E235" s="101"/>
      <c r="F235" s="101"/>
      <c r="G235" s="101"/>
      <c r="H235" s="101"/>
      <c r="I235" s="101"/>
      <c r="J235" s="101"/>
      <c r="K235" s="101"/>
      <c r="L235" s="101"/>
      <c r="M235" s="101"/>
      <c r="N235" s="101"/>
      <c r="O235" s="101"/>
      <c r="P235" s="101"/>
      <c r="Q235" s="101"/>
    </row>
    <row r="236" spans="1:17" ht="19.5">
      <c r="A236" s="101"/>
      <c r="B236" s="101"/>
      <c r="C236" s="101"/>
      <c r="D236" s="101"/>
      <c r="E236" s="101"/>
      <c r="F236" s="101"/>
      <c r="G236" s="101"/>
      <c r="H236" s="101"/>
      <c r="I236" s="101"/>
      <c r="J236" s="101"/>
      <c r="K236" s="101"/>
      <c r="L236" s="101"/>
      <c r="M236" s="101"/>
      <c r="N236" s="101"/>
      <c r="O236" s="101"/>
      <c r="P236" s="101"/>
      <c r="Q236" s="101"/>
    </row>
    <row r="237" spans="1:17" ht="19.5">
      <c r="A237" s="101"/>
      <c r="B237" s="101"/>
      <c r="C237" s="101"/>
      <c r="D237" s="101"/>
      <c r="E237" s="101"/>
      <c r="F237" s="101"/>
      <c r="G237" s="101"/>
      <c r="H237" s="101"/>
      <c r="I237" s="101"/>
      <c r="J237" s="101"/>
      <c r="K237" s="101"/>
      <c r="L237" s="101"/>
      <c r="M237" s="101"/>
      <c r="N237" s="101"/>
      <c r="O237" s="101"/>
      <c r="P237" s="101"/>
      <c r="Q237" s="101"/>
    </row>
    <row r="238" spans="1:17" ht="19.5">
      <c r="A238" s="101"/>
      <c r="B238" s="101"/>
      <c r="C238" s="101"/>
      <c r="D238" s="101"/>
      <c r="E238" s="101"/>
      <c r="F238" s="101"/>
      <c r="G238" s="101"/>
      <c r="H238" s="101"/>
      <c r="I238" s="101"/>
      <c r="J238" s="101"/>
      <c r="K238" s="101"/>
      <c r="L238" s="101"/>
      <c r="M238" s="101"/>
      <c r="N238" s="101"/>
      <c r="O238" s="101"/>
      <c r="P238" s="101"/>
      <c r="Q238" s="101"/>
    </row>
    <row r="239" spans="1:17" ht="19.5">
      <c r="A239" s="101"/>
      <c r="B239" s="101"/>
      <c r="C239" s="101"/>
      <c r="D239" s="101"/>
      <c r="E239" s="101"/>
      <c r="F239" s="101"/>
      <c r="G239" s="101"/>
      <c r="H239" s="101"/>
      <c r="I239" s="101"/>
      <c r="J239" s="101"/>
      <c r="K239" s="101"/>
      <c r="L239" s="101"/>
      <c r="M239" s="101"/>
      <c r="N239" s="101"/>
      <c r="O239" s="101"/>
      <c r="P239" s="101"/>
      <c r="Q239" s="101"/>
    </row>
    <row r="240" spans="1:17" ht="19.5">
      <c r="A240" s="101"/>
      <c r="B240" s="101"/>
      <c r="C240" s="101"/>
      <c r="D240" s="101"/>
      <c r="E240" s="101"/>
      <c r="F240" s="101"/>
      <c r="G240" s="101"/>
      <c r="H240" s="101"/>
      <c r="I240" s="101"/>
      <c r="J240" s="101"/>
      <c r="K240" s="101"/>
      <c r="L240" s="101"/>
      <c r="M240" s="101"/>
      <c r="N240" s="101"/>
      <c r="O240" s="101"/>
      <c r="P240" s="101"/>
      <c r="Q240" s="101"/>
    </row>
    <row r="241" spans="1:17" ht="19.5">
      <c r="A241" s="101"/>
      <c r="B241" s="101"/>
      <c r="C241" s="101"/>
      <c r="D241" s="101"/>
      <c r="E241" s="101"/>
      <c r="F241" s="101"/>
      <c r="G241" s="101"/>
      <c r="H241" s="101"/>
      <c r="I241" s="101"/>
      <c r="J241" s="101"/>
      <c r="K241" s="101"/>
      <c r="L241" s="101"/>
      <c r="M241" s="101"/>
      <c r="N241" s="101"/>
      <c r="O241" s="101"/>
      <c r="P241" s="101"/>
      <c r="Q241" s="101"/>
    </row>
    <row r="242" spans="1:17" ht="19.5">
      <c r="A242" s="101"/>
      <c r="B242" s="101"/>
      <c r="C242" s="101"/>
      <c r="D242" s="101"/>
      <c r="E242" s="101"/>
      <c r="F242" s="101"/>
      <c r="G242" s="101"/>
      <c r="H242" s="101"/>
      <c r="I242" s="101"/>
      <c r="J242" s="101"/>
      <c r="K242" s="101"/>
      <c r="L242" s="101"/>
      <c r="M242" s="101"/>
      <c r="N242" s="101"/>
      <c r="O242" s="101"/>
      <c r="P242" s="101"/>
      <c r="Q242" s="101"/>
    </row>
    <row r="243" spans="1:17" ht="19.5">
      <c r="A243" s="101"/>
      <c r="B243" s="101"/>
      <c r="C243" s="101"/>
      <c r="D243" s="101"/>
      <c r="E243" s="101"/>
      <c r="F243" s="101"/>
      <c r="G243" s="101"/>
      <c r="H243" s="101"/>
      <c r="I243" s="101"/>
      <c r="J243" s="101"/>
      <c r="K243" s="101"/>
      <c r="L243" s="101"/>
      <c r="M243" s="101"/>
      <c r="N243" s="101"/>
      <c r="O243" s="101"/>
      <c r="P243" s="101"/>
      <c r="Q243" s="101"/>
    </row>
    <row r="244" spans="1:17" ht="19.5">
      <c r="A244" s="101"/>
      <c r="B244" s="101"/>
      <c r="C244" s="101"/>
      <c r="D244" s="101"/>
      <c r="E244" s="101"/>
      <c r="F244" s="101"/>
      <c r="G244" s="101"/>
      <c r="H244" s="101"/>
      <c r="I244" s="101"/>
      <c r="J244" s="101"/>
      <c r="K244" s="101"/>
      <c r="L244" s="101"/>
      <c r="M244" s="101"/>
      <c r="N244" s="101"/>
      <c r="O244" s="101"/>
      <c r="P244" s="101"/>
      <c r="Q244" s="101"/>
    </row>
    <row r="245" spans="1:17" ht="19.5">
      <c r="A245" s="101"/>
      <c r="B245" s="101"/>
      <c r="C245" s="101"/>
      <c r="D245" s="101"/>
      <c r="E245" s="101"/>
      <c r="F245" s="101"/>
      <c r="G245" s="101"/>
      <c r="H245" s="101"/>
      <c r="I245" s="101"/>
      <c r="J245" s="101"/>
      <c r="K245" s="101"/>
      <c r="L245" s="101"/>
      <c r="M245" s="101"/>
      <c r="N245" s="101"/>
      <c r="O245" s="101"/>
      <c r="P245" s="101"/>
      <c r="Q245" s="101"/>
    </row>
    <row r="246" spans="1:17" ht="19.5">
      <c r="A246" s="101"/>
      <c r="B246" s="101"/>
      <c r="C246" s="101"/>
      <c r="D246" s="101"/>
      <c r="E246" s="101"/>
      <c r="F246" s="101"/>
      <c r="G246" s="101"/>
      <c r="H246" s="101"/>
      <c r="I246" s="101"/>
      <c r="J246" s="101"/>
      <c r="K246" s="101"/>
      <c r="L246" s="101"/>
      <c r="M246" s="101"/>
      <c r="N246" s="101"/>
      <c r="O246" s="101"/>
      <c r="P246" s="101"/>
      <c r="Q246" s="101"/>
    </row>
    <row r="247" spans="1:17" ht="19.5">
      <c r="A247" s="101"/>
      <c r="B247" s="101"/>
      <c r="C247" s="101"/>
      <c r="D247" s="101"/>
      <c r="E247" s="101"/>
      <c r="F247" s="101"/>
      <c r="G247" s="101"/>
      <c r="H247" s="101"/>
      <c r="I247" s="101"/>
      <c r="J247" s="101"/>
      <c r="K247" s="101"/>
      <c r="L247" s="101"/>
      <c r="M247" s="101"/>
      <c r="N247" s="101"/>
      <c r="O247" s="101"/>
      <c r="P247" s="101"/>
      <c r="Q247" s="101"/>
    </row>
    <row r="248" spans="1:17" ht="19.5">
      <c r="A248" s="101"/>
      <c r="B248" s="101"/>
      <c r="C248" s="101"/>
      <c r="D248" s="101"/>
      <c r="E248" s="101"/>
      <c r="F248" s="101"/>
      <c r="G248" s="101"/>
      <c r="H248" s="101"/>
      <c r="I248" s="101"/>
      <c r="J248" s="101"/>
      <c r="K248" s="101"/>
      <c r="L248" s="101"/>
      <c r="M248" s="101"/>
      <c r="N248" s="101"/>
      <c r="O248" s="101"/>
      <c r="P248" s="101"/>
      <c r="Q248" s="101"/>
    </row>
    <row r="249" spans="1:17" ht="19.5">
      <c r="A249" s="101"/>
      <c r="B249" s="101"/>
      <c r="C249" s="101"/>
      <c r="D249" s="101"/>
      <c r="E249" s="101"/>
      <c r="F249" s="101"/>
      <c r="G249" s="101"/>
      <c r="H249" s="101"/>
      <c r="I249" s="101"/>
      <c r="J249" s="101"/>
      <c r="K249" s="101"/>
      <c r="L249" s="101"/>
      <c r="M249" s="101"/>
      <c r="N249" s="101"/>
      <c r="O249" s="101"/>
      <c r="P249" s="101"/>
      <c r="Q249" s="101"/>
    </row>
    <row r="250" spans="1:17" ht="19.5">
      <c r="A250" s="101"/>
      <c r="B250" s="101"/>
      <c r="C250" s="101"/>
      <c r="D250" s="101"/>
      <c r="E250" s="101"/>
      <c r="F250" s="101"/>
      <c r="G250" s="101"/>
      <c r="H250" s="101"/>
      <c r="I250" s="101"/>
      <c r="J250" s="101"/>
      <c r="K250" s="101"/>
      <c r="L250" s="101"/>
      <c r="M250" s="101"/>
      <c r="N250" s="101"/>
      <c r="O250" s="101"/>
      <c r="P250" s="101"/>
      <c r="Q250" s="101"/>
    </row>
    <row r="251" spans="1:17" ht="19.5">
      <c r="A251" s="101"/>
      <c r="B251" s="101"/>
      <c r="C251" s="101"/>
      <c r="D251" s="101"/>
      <c r="E251" s="101"/>
      <c r="F251" s="101"/>
      <c r="G251" s="101"/>
      <c r="H251" s="101"/>
      <c r="I251" s="101"/>
      <c r="J251" s="101"/>
      <c r="K251" s="101"/>
      <c r="L251" s="101"/>
      <c r="M251" s="101"/>
      <c r="N251" s="101"/>
      <c r="O251" s="101"/>
      <c r="P251" s="101"/>
      <c r="Q251" s="101"/>
    </row>
    <row r="252" spans="1:17" ht="19.5">
      <c r="A252" s="101"/>
      <c r="B252" s="101"/>
      <c r="C252" s="101"/>
      <c r="D252" s="101"/>
      <c r="E252" s="101"/>
      <c r="F252" s="101"/>
      <c r="G252" s="101"/>
      <c r="H252" s="101"/>
      <c r="I252" s="101"/>
      <c r="J252" s="101"/>
      <c r="K252" s="101"/>
      <c r="L252" s="101"/>
      <c r="M252" s="101"/>
      <c r="N252" s="101"/>
      <c r="O252" s="101"/>
      <c r="P252" s="101"/>
      <c r="Q252" s="101"/>
    </row>
    <row r="253" spans="1:17" ht="19.5">
      <c r="A253" s="101"/>
      <c r="B253" s="101"/>
      <c r="C253" s="101"/>
      <c r="D253" s="101"/>
      <c r="E253" s="101"/>
      <c r="F253" s="101"/>
      <c r="G253" s="101"/>
      <c r="H253" s="101"/>
      <c r="I253" s="101"/>
      <c r="J253" s="101"/>
      <c r="K253" s="101"/>
      <c r="L253" s="101"/>
      <c r="M253" s="101"/>
      <c r="N253" s="101"/>
      <c r="O253" s="101"/>
      <c r="P253" s="101"/>
      <c r="Q253" s="101"/>
    </row>
    <row r="254" spans="1:17" ht="19.5">
      <c r="A254" s="101"/>
      <c r="B254" s="101"/>
      <c r="C254" s="101"/>
      <c r="D254" s="101"/>
      <c r="E254" s="101"/>
      <c r="F254" s="101"/>
      <c r="G254" s="101"/>
      <c r="H254" s="101"/>
      <c r="I254" s="101"/>
      <c r="J254" s="101"/>
      <c r="K254" s="101"/>
      <c r="L254" s="101"/>
      <c r="M254" s="101"/>
      <c r="N254" s="101"/>
      <c r="O254" s="101"/>
      <c r="P254" s="101"/>
      <c r="Q254" s="101"/>
    </row>
    <row r="255" spans="1:17" ht="19.5">
      <c r="A255" s="101"/>
      <c r="B255" s="101"/>
      <c r="C255" s="101"/>
      <c r="D255" s="101"/>
      <c r="E255" s="101"/>
      <c r="F255" s="101"/>
      <c r="G255" s="101"/>
      <c r="H255" s="101"/>
      <c r="I255" s="101"/>
      <c r="J255" s="101"/>
      <c r="K255" s="101"/>
      <c r="L255" s="101"/>
      <c r="M255" s="101"/>
      <c r="N255" s="101"/>
      <c r="O255" s="101"/>
      <c r="P255" s="101"/>
      <c r="Q255" s="101"/>
    </row>
    <row r="256" spans="1:17" ht="19.5">
      <c r="A256" s="101"/>
      <c r="B256" s="101"/>
      <c r="C256" s="101"/>
      <c r="D256" s="101"/>
      <c r="E256" s="101"/>
      <c r="F256" s="101"/>
      <c r="G256" s="101"/>
      <c r="H256" s="101"/>
      <c r="I256" s="101"/>
      <c r="J256" s="101"/>
      <c r="K256" s="101"/>
      <c r="L256" s="101"/>
      <c r="M256" s="101"/>
      <c r="N256" s="101"/>
      <c r="O256" s="101"/>
      <c r="P256" s="101"/>
      <c r="Q256" s="101"/>
    </row>
    <row r="257" spans="1:17" ht="19.5">
      <c r="A257" s="101"/>
      <c r="B257" s="101"/>
      <c r="C257" s="101"/>
      <c r="D257" s="101"/>
      <c r="E257" s="101"/>
      <c r="F257" s="101"/>
      <c r="G257" s="101"/>
      <c r="H257" s="101"/>
      <c r="I257" s="101"/>
      <c r="J257" s="101"/>
      <c r="K257" s="101"/>
      <c r="L257" s="101"/>
      <c r="M257" s="101"/>
      <c r="N257" s="101"/>
      <c r="O257" s="101"/>
      <c r="P257" s="101"/>
      <c r="Q257" s="101"/>
    </row>
    <row r="258" spans="1:17" ht="19.5">
      <c r="A258" s="101"/>
      <c r="B258" s="101"/>
      <c r="C258" s="101"/>
      <c r="D258" s="101"/>
      <c r="E258" s="101"/>
      <c r="F258" s="101"/>
      <c r="G258" s="101"/>
      <c r="H258" s="101"/>
      <c r="I258" s="101"/>
      <c r="J258" s="101"/>
      <c r="K258" s="101"/>
      <c r="L258" s="101"/>
      <c r="M258" s="101"/>
      <c r="N258" s="101"/>
      <c r="O258" s="101"/>
      <c r="P258" s="101"/>
      <c r="Q258" s="101"/>
    </row>
    <row r="259" spans="1:17" ht="19.5">
      <c r="A259" s="101"/>
      <c r="B259" s="101"/>
      <c r="C259" s="101"/>
      <c r="D259" s="101"/>
      <c r="E259" s="101"/>
      <c r="F259" s="101"/>
      <c r="G259" s="101"/>
      <c r="H259" s="101"/>
      <c r="I259" s="101"/>
      <c r="J259" s="101"/>
      <c r="K259" s="101"/>
      <c r="L259" s="101"/>
      <c r="M259" s="101"/>
      <c r="N259" s="101"/>
      <c r="O259" s="101"/>
      <c r="P259" s="101"/>
      <c r="Q259" s="101"/>
    </row>
    <row r="260" spans="1:17" ht="19.5">
      <c r="A260" s="101"/>
      <c r="B260" s="101"/>
      <c r="C260" s="101"/>
      <c r="D260" s="101"/>
      <c r="E260" s="101"/>
      <c r="F260" s="101"/>
      <c r="G260" s="101"/>
      <c r="H260" s="101"/>
      <c r="I260" s="101"/>
      <c r="J260" s="101"/>
      <c r="K260" s="101"/>
      <c r="L260" s="101"/>
      <c r="M260" s="101"/>
      <c r="N260" s="101"/>
      <c r="O260" s="101"/>
      <c r="P260" s="101"/>
      <c r="Q260" s="101"/>
    </row>
    <row r="261" spans="1:17" ht="19.5">
      <c r="A261" s="101"/>
      <c r="B261" s="101"/>
      <c r="C261" s="101"/>
      <c r="D261" s="101"/>
      <c r="E261" s="101"/>
      <c r="F261" s="101"/>
      <c r="G261" s="101"/>
      <c r="H261" s="101"/>
      <c r="I261" s="101"/>
      <c r="J261" s="101"/>
      <c r="K261" s="101"/>
      <c r="L261" s="101"/>
      <c r="M261" s="101"/>
      <c r="N261" s="101"/>
      <c r="O261" s="101"/>
      <c r="P261" s="101"/>
      <c r="Q261" s="101"/>
    </row>
    <row r="262" spans="1:17" ht="19.5">
      <c r="A262" s="101"/>
      <c r="B262" s="101"/>
      <c r="C262" s="101"/>
      <c r="D262" s="101"/>
      <c r="E262" s="101"/>
      <c r="F262" s="101"/>
      <c r="G262" s="101"/>
      <c r="H262" s="101"/>
      <c r="I262" s="101"/>
      <c r="J262" s="101"/>
      <c r="K262" s="101"/>
      <c r="L262" s="101"/>
      <c r="M262" s="101"/>
      <c r="N262" s="101"/>
      <c r="O262" s="101"/>
      <c r="P262" s="101"/>
      <c r="Q262" s="101"/>
    </row>
    <row r="263" spans="1:17" ht="19.5">
      <c r="A263" s="101"/>
      <c r="B263" s="101"/>
      <c r="C263" s="101"/>
      <c r="D263" s="101"/>
      <c r="E263" s="101"/>
      <c r="F263" s="101"/>
      <c r="G263" s="101"/>
      <c r="H263" s="101"/>
      <c r="I263" s="101"/>
      <c r="J263" s="101"/>
      <c r="K263" s="101"/>
      <c r="L263" s="101"/>
      <c r="M263" s="101"/>
      <c r="N263" s="101"/>
      <c r="O263" s="101"/>
      <c r="P263" s="101"/>
      <c r="Q263" s="101"/>
    </row>
    <row r="264" spans="1:17" ht="19.5">
      <c r="A264" s="101"/>
      <c r="B264" s="101"/>
      <c r="C264" s="101"/>
      <c r="D264" s="101"/>
      <c r="E264" s="101"/>
      <c r="F264" s="101"/>
      <c r="G264" s="101"/>
      <c r="H264" s="101"/>
      <c r="I264" s="101"/>
      <c r="J264" s="101"/>
      <c r="K264" s="101"/>
      <c r="L264" s="101"/>
      <c r="M264" s="101"/>
      <c r="N264" s="101"/>
      <c r="O264" s="101"/>
      <c r="P264" s="101"/>
      <c r="Q264" s="101"/>
    </row>
    <row r="265" spans="1:17" ht="19.5">
      <c r="A265" s="101"/>
      <c r="B265" s="101"/>
      <c r="C265" s="101"/>
      <c r="D265" s="101"/>
      <c r="E265" s="101"/>
      <c r="F265" s="101"/>
      <c r="G265" s="101"/>
      <c r="H265" s="101"/>
      <c r="I265" s="101"/>
      <c r="J265" s="101"/>
      <c r="K265" s="101"/>
      <c r="L265" s="101"/>
      <c r="M265" s="101"/>
      <c r="N265" s="101"/>
      <c r="O265" s="101"/>
      <c r="P265" s="101"/>
      <c r="Q265" s="101"/>
    </row>
    <row r="266" spans="1:17" ht="19.5">
      <c r="A266" s="101"/>
      <c r="B266" s="101"/>
      <c r="C266" s="101"/>
      <c r="D266" s="101"/>
      <c r="E266" s="101"/>
      <c r="F266" s="101"/>
      <c r="G266" s="101"/>
      <c r="H266" s="101"/>
      <c r="I266" s="101"/>
      <c r="J266" s="101"/>
      <c r="K266" s="101"/>
      <c r="L266" s="101"/>
      <c r="M266" s="101"/>
      <c r="N266" s="101"/>
      <c r="O266" s="101"/>
      <c r="P266" s="101"/>
      <c r="Q266" s="101"/>
    </row>
    <row r="267" spans="1:17" ht="19.5">
      <c r="A267" s="101"/>
      <c r="B267" s="101"/>
      <c r="C267" s="101"/>
      <c r="D267" s="101"/>
      <c r="E267" s="101"/>
      <c r="F267" s="101"/>
      <c r="G267" s="101"/>
      <c r="H267" s="101"/>
      <c r="I267" s="101"/>
      <c r="J267" s="101"/>
      <c r="K267" s="101"/>
      <c r="L267" s="101"/>
      <c r="M267" s="101"/>
      <c r="N267" s="101"/>
      <c r="O267" s="101"/>
      <c r="P267" s="101"/>
      <c r="Q267" s="101"/>
    </row>
    <row r="268" spans="1:17" ht="19.5">
      <c r="A268" s="101"/>
      <c r="B268" s="101"/>
      <c r="C268" s="101"/>
      <c r="D268" s="101"/>
      <c r="E268" s="101"/>
      <c r="F268" s="101"/>
      <c r="G268" s="101"/>
      <c r="H268" s="101"/>
      <c r="I268" s="101"/>
      <c r="J268" s="101"/>
      <c r="K268" s="101"/>
      <c r="L268" s="101"/>
      <c r="M268" s="101"/>
      <c r="N268" s="101"/>
      <c r="O268" s="101"/>
      <c r="P268" s="101"/>
      <c r="Q268" s="101"/>
    </row>
    <row r="269" spans="1:17" ht="19.5">
      <c r="A269" s="101"/>
      <c r="B269" s="101"/>
      <c r="C269" s="101"/>
      <c r="D269" s="101"/>
      <c r="E269" s="101"/>
      <c r="F269" s="101"/>
      <c r="G269" s="101"/>
      <c r="H269" s="101"/>
      <c r="I269" s="101"/>
      <c r="J269" s="101"/>
      <c r="K269" s="101"/>
      <c r="L269" s="101"/>
      <c r="M269" s="101"/>
      <c r="N269" s="101"/>
      <c r="O269" s="101"/>
      <c r="P269" s="101"/>
      <c r="Q269" s="101"/>
    </row>
    <row r="270" spans="1:17" ht="19.5">
      <c r="A270" s="101"/>
      <c r="B270" s="101"/>
      <c r="C270" s="101"/>
      <c r="D270" s="101"/>
      <c r="E270" s="101"/>
      <c r="F270" s="101"/>
      <c r="G270" s="101"/>
      <c r="H270" s="101"/>
      <c r="I270" s="101"/>
      <c r="J270" s="101"/>
      <c r="K270" s="101"/>
      <c r="L270" s="101"/>
      <c r="M270" s="101"/>
      <c r="N270" s="101"/>
      <c r="O270" s="101"/>
      <c r="P270" s="101"/>
      <c r="Q270" s="101"/>
    </row>
    <row r="271" spans="1:17" ht="19.5">
      <c r="A271" s="101"/>
      <c r="B271" s="101"/>
      <c r="C271" s="101"/>
      <c r="D271" s="101"/>
      <c r="E271" s="101"/>
      <c r="F271" s="101"/>
      <c r="G271" s="101"/>
      <c r="H271" s="101"/>
      <c r="I271" s="101"/>
      <c r="J271" s="101"/>
      <c r="K271" s="101"/>
      <c r="L271" s="101"/>
      <c r="M271" s="101"/>
      <c r="N271" s="101"/>
      <c r="O271" s="101"/>
      <c r="P271" s="101"/>
      <c r="Q271" s="101"/>
    </row>
    <row r="272" spans="1:17" ht="19.5">
      <c r="A272" s="101"/>
      <c r="B272" s="101"/>
      <c r="C272" s="101"/>
      <c r="D272" s="101"/>
      <c r="E272" s="101"/>
      <c r="F272" s="101"/>
      <c r="G272" s="101"/>
      <c r="H272" s="101"/>
      <c r="I272" s="101"/>
      <c r="J272" s="101"/>
      <c r="K272" s="101"/>
      <c r="L272" s="101"/>
      <c r="M272" s="101"/>
      <c r="N272" s="101"/>
      <c r="O272" s="101"/>
      <c r="P272" s="101"/>
      <c r="Q272" s="101"/>
    </row>
    <row r="273" spans="1:17" ht="19.5">
      <c r="A273" s="101"/>
      <c r="B273" s="101"/>
      <c r="C273" s="101"/>
      <c r="D273" s="101"/>
      <c r="E273" s="101"/>
      <c r="F273" s="101"/>
      <c r="G273" s="101"/>
      <c r="H273" s="101"/>
      <c r="I273" s="101"/>
      <c r="J273" s="101"/>
      <c r="K273" s="101"/>
      <c r="L273" s="101"/>
      <c r="M273" s="101"/>
      <c r="N273" s="101"/>
      <c r="O273" s="101"/>
      <c r="P273" s="101"/>
      <c r="Q273" s="101"/>
    </row>
    <row r="274" spans="1:17" ht="19.5">
      <c r="A274" s="101"/>
      <c r="B274" s="101"/>
      <c r="C274" s="101"/>
      <c r="D274" s="101"/>
      <c r="E274" s="101"/>
      <c r="F274" s="101"/>
      <c r="G274" s="101"/>
      <c r="H274" s="101"/>
      <c r="I274" s="101"/>
      <c r="J274" s="101"/>
      <c r="K274" s="101"/>
      <c r="L274" s="101"/>
      <c r="M274" s="101"/>
      <c r="N274" s="101"/>
      <c r="O274" s="101"/>
      <c r="P274" s="101"/>
      <c r="Q274" s="101"/>
    </row>
    <row r="275" spans="1:17" ht="19.5">
      <c r="A275" s="101"/>
      <c r="B275" s="101"/>
      <c r="C275" s="101"/>
      <c r="D275" s="101"/>
      <c r="E275" s="101"/>
      <c r="F275" s="101"/>
      <c r="G275" s="101"/>
      <c r="H275" s="101"/>
      <c r="I275" s="101"/>
      <c r="J275" s="101"/>
      <c r="K275" s="101"/>
      <c r="L275" s="101"/>
      <c r="M275" s="101"/>
      <c r="N275" s="101"/>
      <c r="O275" s="101"/>
      <c r="P275" s="101"/>
      <c r="Q275" s="101"/>
    </row>
    <row r="276" spans="1:17" ht="19.5">
      <c r="A276" s="101"/>
      <c r="B276" s="101"/>
      <c r="C276" s="101"/>
      <c r="D276" s="101"/>
      <c r="E276" s="101"/>
      <c r="F276" s="101"/>
      <c r="G276" s="101"/>
      <c r="H276" s="101"/>
      <c r="I276" s="101"/>
      <c r="J276" s="101"/>
      <c r="K276" s="101"/>
      <c r="L276" s="101"/>
      <c r="M276" s="101"/>
      <c r="N276" s="101"/>
      <c r="O276" s="101"/>
      <c r="P276" s="101"/>
      <c r="Q276" s="101"/>
    </row>
    <row r="277" spans="1:17" ht="19.5">
      <c r="A277" s="101"/>
      <c r="B277" s="101"/>
      <c r="C277" s="101"/>
      <c r="D277" s="101"/>
      <c r="E277" s="101"/>
      <c r="F277" s="101"/>
      <c r="G277" s="101"/>
      <c r="H277" s="101"/>
      <c r="I277" s="101"/>
      <c r="J277" s="101"/>
      <c r="K277" s="101"/>
      <c r="L277" s="101"/>
      <c r="M277" s="101"/>
      <c r="N277" s="101"/>
      <c r="O277" s="101"/>
      <c r="P277" s="101"/>
      <c r="Q277" s="101"/>
    </row>
    <row r="278" spans="1:17" ht="19.5">
      <c r="A278" s="101"/>
      <c r="B278" s="101"/>
      <c r="C278" s="101"/>
      <c r="D278" s="101"/>
      <c r="E278" s="101"/>
      <c r="F278" s="101"/>
      <c r="G278" s="101"/>
      <c r="H278" s="101"/>
      <c r="I278" s="101"/>
      <c r="J278" s="101"/>
      <c r="K278" s="101"/>
      <c r="L278" s="101"/>
      <c r="M278" s="101"/>
      <c r="N278" s="101"/>
      <c r="O278" s="101"/>
      <c r="P278" s="101"/>
      <c r="Q278" s="101"/>
    </row>
    <row r="279" spans="1:17" ht="19.5">
      <c r="A279" s="101"/>
      <c r="B279" s="101"/>
      <c r="C279" s="101"/>
      <c r="D279" s="101"/>
      <c r="E279" s="101"/>
      <c r="F279" s="101"/>
      <c r="G279" s="101"/>
      <c r="H279" s="101"/>
      <c r="I279" s="101"/>
      <c r="J279" s="101"/>
      <c r="K279" s="101"/>
      <c r="L279" s="101"/>
      <c r="M279" s="101"/>
      <c r="N279" s="101"/>
      <c r="O279" s="101"/>
      <c r="P279" s="101"/>
      <c r="Q279" s="101"/>
    </row>
    <row r="280" spans="1:17" ht="19.5">
      <c r="A280" s="101"/>
      <c r="B280" s="101"/>
      <c r="C280" s="101"/>
      <c r="D280" s="101"/>
      <c r="E280" s="101"/>
      <c r="F280" s="101"/>
      <c r="G280" s="101"/>
      <c r="H280" s="101"/>
      <c r="I280" s="101"/>
      <c r="J280" s="101"/>
      <c r="K280" s="101"/>
      <c r="L280" s="101"/>
      <c r="M280" s="101"/>
      <c r="N280" s="101"/>
      <c r="O280" s="101"/>
      <c r="P280" s="101"/>
      <c r="Q280" s="101"/>
    </row>
    <row r="281" spans="1:17" ht="19.5">
      <c r="A281" s="101"/>
      <c r="B281" s="101"/>
      <c r="C281" s="101"/>
      <c r="D281" s="101"/>
      <c r="E281" s="101"/>
      <c r="F281" s="101"/>
      <c r="G281" s="101"/>
      <c r="H281" s="101"/>
      <c r="I281" s="101"/>
      <c r="J281" s="101"/>
      <c r="K281" s="101"/>
      <c r="L281" s="101"/>
      <c r="M281" s="101"/>
      <c r="N281" s="101"/>
      <c r="O281" s="101"/>
      <c r="P281" s="101"/>
      <c r="Q281" s="101"/>
    </row>
    <row r="282" spans="1:17" ht="19.5">
      <c r="A282" s="101"/>
      <c r="B282" s="101"/>
      <c r="C282" s="101"/>
      <c r="D282" s="101"/>
      <c r="E282" s="101"/>
      <c r="F282" s="101"/>
      <c r="G282" s="101"/>
      <c r="H282" s="101"/>
      <c r="I282" s="101"/>
      <c r="J282" s="101"/>
      <c r="K282" s="101"/>
      <c r="L282" s="101"/>
      <c r="M282" s="101"/>
      <c r="N282" s="101"/>
      <c r="O282" s="101"/>
      <c r="P282" s="101"/>
      <c r="Q282" s="101"/>
    </row>
    <row r="283" spans="1:17" ht="19.5">
      <c r="A283" s="101"/>
      <c r="B283" s="101"/>
      <c r="C283" s="101"/>
      <c r="D283" s="101"/>
      <c r="E283" s="101"/>
      <c r="F283" s="101"/>
      <c r="G283" s="101"/>
      <c r="H283" s="101"/>
      <c r="I283" s="101"/>
      <c r="J283" s="101"/>
      <c r="K283" s="101"/>
      <c r="L283" s="101"/>
      <c r="M283" s="101"/>
      <c r="N283" s="101"/>
      <c r="O283" s="101"/>
      <c r="P283" s="101"/>
      <c r="Q283" s="101"/>
    </row>
    <row r="284" spans="1:17" ht="19.5">
      <c r="A284" s="101"/>
      <c r="B284" s="101"/>
      <c r="C284" s="101"/>
      <c r="D284" s="101"/>
      <c r="E284" s="101"/>
      <c r="F284" s="101"/>
      <c r="G284" s="101"/>
      <c r="H284" s="101"/>
      <c r="I284" s="101"/>
      <c r="J284" s="101"/>
      <c r="K284" s="101"/>
      <c r="L284" s="101"/>
      <c r="M284" s="101"/>
      <c r="N284" s="101"/>
      <c r="O284" s="101"/>
      <c r="P284" s="101"/>
      <c r="Q284" s="101"/>
    </row>
    <row r="285" spans="1:17" ht="19.5">
      <c r="A285" s="101"/>
      <c r="B285" s="101"/>
      <c r="C285" s="101"/>
      <c r="D285" s="101"/>
      <c r="E285" s="101"/>
      <c r="F285" s="101"/>
      <c r="G285" s="101"/>
      <c r="H285" s="101"/>
      <c r="I285" s="101"/>
      <c r="J285" s="101"/>
      <c r="K285" s="101"/>
      <c r="L285" s="101"/>
      <c r="M285" s="101"/>
      <c r="N285" s="101"/>
      <c r="O285" s="101"/>
      <c r="P285" s="101"/>
      <c r="Q285" s="101"/>
    </row>
    <row r="286" spans="1:17" ht="19.5">
      <c r="A286" s="101"/>
      <c r="B286" s="101"/>
      <c r="C286" s="101"/>
      <c r="D286" s="101"/>
      <c r="E286" s="101"/>
      <c r="F286" s="101"/>
      <c r="G286" s="101"/>
      <c r="H286" s="101"/>
      <c r="I286" s="101"/>
      <c r="J286" s="101"/>
      <c r="K286" s="101"/>
      <c r="L286" s="101"/>
      <c r="M286" s="101"/>
      <c r="N286" s="101"/>
      <c r="O286" s="101"/>
      <c r="P286" s="101"/>
      <c r="Q286" s="101"/>
    </row>
    <row r="287" spans="1:17" ht="19.5">
      <c r="A287" s="101"/>
      <c r="B287" s="101"/>
      <c r="C287" s="101"/>
      <c r="D287" s="101"/>
      <c r="E287" s="101"/>
      <c r="F287" s="101"/>
      <c r="G287" s="101"/>
      <c r="H287" s="101"/>
      <c r="I287" s="101"/>
      <c r="J287" s="101"/>
      <c r="K287" s="101"/>
      <c r="L287" s="101"/>
      <c r="M287" s="101"/>
      <c r="N287" s="101"/>
      <c r="O287" s="101"/>
      <c r="P287" s="101"/>
      <c r="Q287" s="101"/>
    </row>
    <row r="288" spans="1:17" ht="19.5">
      <c r="A288" s="101"/>
      <c r="B288" s="101"/>
      <c r="C288" s="101"/>
      <c r="D288" s="101"/>
      <c r="E288" s="101"/>
      <c r="F288" s="101"/>
      <c r="G288" s="101"/>
      <c r="H288" s="101"/>
      <c r="I288" s="101"/>
      <c r="J288" s="101"/>
      <c r="K288" s="101"/>
      <c r="L288" s="101"/>
      <c r="M288" s="101"/>
      <c r="N288" s="101"/>
      <c r="O288" s="101"/>
      <c r="P288" s="101"/>
      <c r="Q288" s="101"/>
    </row>
    <row r="289" spans="1:17" ht="19.5">
      <c r="A289" s="101"/>
      <c r="B289" s="101"/>
      <c r="C289" s="101"/>
      <c r="D289" s="101"/>
      <c r="E289" s="101"/>
      <c r="F289" s="101"/>
      <c r="G289" s="101"/>
      <c r="H289" s="101"/>
      <c r="I289" s="101"/>
      <c r="J289" s="101"/>
      <c r="K289" s="101"/>
      <c r="L289" s="101"/>
      <c r="M289" s="101"/>
      <c r="N289" s="101"/>
      <c r="O289" s="101"/>
      <c r="P289" s="101"/>
      <c r="Q289" s="101"/>
    </row>
    <row r="290" spans="1:17" ht="19.5">
      <c r="A290" s="101"/>
      <c r="B290" s="101"/>
      <c r="C290" s="101"/>
      <c r="D290" s="101"/>
      <c r="E290" s="101"/>
      <c r="F290" s="101"/>
      <c r="G290" s="101"/>
      <c r="H290" s="101"/>
      <c r="I290" s="101"/>
      <c r="J290" s="101"/>
      <c r="K290" s="101"/>
      <c r="L290" s="101"/>
      <c r="M290" s="101"/>
      <c r="N290" s="101"/>
      <c r="O290" s="101"/>
      <c r="P290" s="101"/>
      <c r="Q290" s="101"/>
    </row>
    <row r="291" spans="1:17" ht="19.5">
      <c r="A291" s="101"/>
      <c r="B291" s="101"/>
      <c r="C291" s="101"/>
      <c r="D291" s="101"/>
      <c r="E291" s="101"/>
      <c r="F291" s="101"/>
      <c r="G291" s="101"/>
      <c r="H291" s="101"/>
      <c r="I291" s="101"/>
      <c r="J291" s="101"/>
      <c r="K291" s="101"/>
      <c r="L291" s="101"/>
      <c r="M291" s="101"/>
      <c r="N291" s="101"/>
      <c r="O291" s="101"/>
      <c r="P291" s="101"/>
      <c r="Q291" s="101"/>
    </row>
    <row r="292" spans="1:17" ht="19.5">
      <c r="A292" s="101"/>
      <c r="B292" s="101"/>
      <c r="C292" s="101"/>
      <c r="D292" s="101"/>
      <c r="E292" s="101"/>
      <c r="F292" s="101"/>
      <c r="G292" s="101"/>
      <c r="H292" s="101"/>
      <c r="I292" s="101"/>
      <c r="J292" s="101"/>
      <c r="K292" s="101"/>
      <c r="L292" s="101"/>
      <c r="M292" s="101"/>
      <c r="N292" s="101"/>
      <c r="O292" s="101"/>
      <c r="P292" s="101"/>
      <c r="Q292" s="101"/>
    </row>
    <row r="293" spans="1:17" ht="19.5">
      <c r="A293" s="101"/>
      <c r="B293" s="101"/>
      <c r="C293" s="101"/>
      <c r="D293" s="101"/>
      <c r="E293" s="101"/>
      <c r="F293" s="101"/>
      <c r="G293" s="101"/>
      <c r="H293" s="101"/>
      <c r="I293" s="101"/>
      <c r="J293" s="101"/>
      <c r="K293" s="101"/>
      <c r="L293" s="101"/>
      <c r="M293" s="101"/>
      <c r="N293" s="101"/>
      <c r="O293" s="101"/>
      <c r="P293" s="101"/>
      <c r="Q293" s="101"/>
    </row>
    <row r="294" spans="1:17" ht="19.5">
      <c r="A294" s="101"/>
      <c r="B294" s="101"/>
      <c r="C294" s="101"/>
      <c r="D294" s="101"/>
      <c r="E294" s="101"/>
      <c r="F294" s="101"/>
      <c r="G294" s="101"/>
      <c r="H294" s="101"/>
      <c r="I294" s="101"/>
      <c r="J294" s="101"/>
      <c r="K294" s="101"/>
      <c r="L294" s="101"/>
      <c r="M294" s="101"/>
      <c r="N294" s="101"/>
      <c r="O294" s="101"/>
      <c r="P294" s="101"/>
      <c r="Q294" s="101"/>
    </row>
    <row r="295" spans="1:17" ht="19.5">
      <c r="A295" s="101"/>
      <c r="B295" s="101"/>
      <c r="C295" s="101"/>
      <c r="D295" s="101"/>
      <c r="E295" s="101"/>
      <c r="F295" s="101"/>
      <c r="G295" s="101"/>
      <c r="H295" s="101"/>
      <c r="I295" s="101"/>
      <c r="J295" s="101"/>
      <c r="K295" s="101"/>
      <c r="L295" s="101"/>
      <c r="M295" s="101"/>
      <c r="N295" s="101"/>
      <c r="O295" s="101"/>
      <c r="P295" s="101"/>
      <c r="Q295" s="101"/>
    </row>
    <row r="296" spans="1:17" ht="19.5">
      <c r="A296" s="101"/>
      <c r="B296" s="101"/>
      <c r="C296" s="101"/>
      <c r="D296" s="101"/>
      <c r="E296" s="101"/>
      <c r="F296" s="101"/>
      <c r="G296" s="101"/>
      <c r="H296" s="101"/>
      <c r="I296" s="101"/>
      <c r="J296" s="101"/>
      <c r="K296" s="101"/>
      <c r="L296" s="101"/>
      <c r="M296" s="101"/>
      <c r="N296" s="101"/>
      <c r="O296" s="101"/>
      <c r="P296" s="101"/>
      <c r="Q296" s="101"/>
    </row>
    <row r="297" spans="1:17" ht="19.5">
      <c r="A297" s="101"/>
      <c r="B297" s="101"/>
      <c r="C297" s="101"/>
      <c r="D297" s="101"/>
      <c r="E297" s="101"/>
      <c r="F297" s="101"/>
      <c r="G297" s="101"/>
      <c r="H297" s="101"/>
      <c r="I297" s="101"/>
      <c r="J297" s="101"/>
      <c r="K297" s="101"/>
      <c r="L297" s="101"/>
      <c r="M297" s="101"/>
      <c r="N297" s="101"/>
      <c r="O297" s="101"/>
      <c r="P297" s="101"/>
      <c r="Q297" s="101"/>
    </row>
    <row r="298" spans="1:17" ht="19.5">
      <c r="A298" s="101"/>
      <c r="B298" s="101"/>
      <c r="C298" s="101"/>
      <c r="D298" s="101"/>
      <c r="E298" s="101"/>
      <c r="F298" s="101"/>
      <c r="G298" s="101"/>
      <c r="H298" s="101"/>
      <c r="I298" s="101"/>
      <c r="J298" s="101"/>
      <c r="K298" s="101"/>
      <c r="L298" s="101"/>
      <c r="M298" s="101"/>
      <c r="N298" s="101"/>
      <c r="O298" s="101"/>
      <c r="P298" s="101"/>
      <c r="Q298" s="101"/>
    </row>
    <row r="299" spans="1:17" ht="19.5">
      <c r="A299" s="101"/>
      <c r="B299" s="101"/>
      <c r="C299" s="101"/>
      <c r="D299" s="101"/>
      <c r="E299" s="101"/>
      <c r="F299" s="101"/>
      <c r="G299" s="101"/>
      <c r="H299" s="101"/>
      <c r="I299" s="101"/>
      <c r="J299" s="101"/>
      <c r="K299" s="101"/>
      <c r="L299" s="101"/>
      <c r="M299" s="101"/>
      <c r="N299" s="101"/>
      <c r="O299" s="101"/>
      <c r="P299" s="101"/>
      <c r="Q299" s="101"/>
    </row>
    <row r="300" spans="1:17" ht="19.5">
      <c r="A300" s="101"/>
      <c r="B300" s="101"/>
      <c r="C300" s="101"/>
      <c r="D300" s="101"/>
      <c r="E300" s="101"/>
      <c r="F300" s="101"/>
      <c r="G300" s="101"/>
      <c r="H300" s="101"/>
      <c r="I300" s="101"/>
      <c r="J300" s="101"/>
      <c r="K300" s="101"/>
      <c r="L300" s="101"/>
      <c r="M300" s="101"/>
      <c r="N300" s="101"/>
      <c r="O300" s="101"/>
      <c r="P300" s="101"/>
      <c r="Q300" s="101"/>
    </row>
    <row r="301" spans="1:17" ht="19.5">
      <c r="A301" s="101"/>
      <c r="B301" s="101"/>
      <c r="C301" s="101"/>
      <c r="D301" s="101"/>
      <c r="E301" s="101"/>
      <c r="F301" s="101"/>
      <c r="G301" s="101"/>
      <c r="H301" s="101"/>
      <c r="I301" s="101"/>
      <c r="J301" s="101"/>
      <c r="K301" s="101"/>
      <c r="L301" s="101"/>
      <c r="M301" s="101"/>
      <c r="N301" s="101"/>
      <c r="O301" s="101"/>
      <c r="P301" s="101"/>
      <c r="Q301" s="101"/>
    </row>
    <row r="302" spans="1:17" ht="19.5">
      <c r="A302" s="101"/>
      <c r="B302" s="101"/>
      <c r="C302" s="101"/>
      <c r="D302" s="101"/>
      <c r="E302" s="101"/>
      <c r="F302" s="101"/>
      <c r="G302" s="101"/>
      <c r="H302" s="101"/>
      <c r="I302" s="101"/>
      <c r="J302" s="101"/>
      <c r="K302" s="101"/>
      <c r="L302" s="101"/>
      <c r="M302" s="101"/>
      <c r="N302" s="101"/>
      <c r="O302" s="101"/>
      <c r="P302" s="101"/>
      <c r="Q302" s="101"/>
    </row>
    <row r="303" spans="1:17" ht="19.5">
      <c r="A303" s="101"/>
      <c r="B303" s="101"/>
      <c r="C303" s="101"/>
      <c r="D303" s="101"/>
      <c r="E303" s="101"/>
      <c r="F303" s="101"/>
      <c r="G303" s="101"/>
      <c r="H303" s="101"/>
      <c r="I303" s="101"/>
      <c r="J303" s="101"/>
      <c r="K303" s="101"/>
      <c r="L303" s="101"/>
      <c r="M303" s="101"/>
      <c r="N303" s="101"/>
      <c r="O303" s="101"/>
      <c r="P303" s="101"/>
      <c r="Q303" s="101"/>
    </row>
    <row r="304" spans="1:17" ht="19.5">
      <c r="A304" s="101"/>
      <c r="B304" s="101"/>
      <c r="C304" s="101"/>
      <c r="D304" s="101"/>
      <c r="E304" s="101"/>
      <c r="F304" s="101"/>
      <c r="G304" s="101"/>
      <c r="H304" s="101"/>
      <c r="I304" s="101"/>
      <c r="J304" s="101"/>
      <c r="K304" s="101"/>
      <c r="L304" s="101"/>
      <c r="M304" s="101"/>
      <c r="N304" s="101"/>
      <c r="O304" s="101"/>
      <c r="P304" s="101"/>
      <c r="Q304" s="101"/>
    </row>
    <row r="305" spans="1:17" ht="19.5">
      <c r="A305" s="101"/>
      <c r="B305" s="101"/>
      <c r="C305" s="101"/>
      <c r="D305" s="101"/>
      <c r="E305" s="101"/>
      <c r="F305" s="101"/>
      <c r="G305" s="101"/>
      <c r="H305" s="101"/>
      <c r="I305" s="101"/>
      <c r="J305" s="101"/>
      <c r="K305" s="101"/>
      <c r="L305" s="101"/>
      <c r="M305" s="101"/>
      <c r="N305" s="101"/>
      <c r="O305" s="101"/>
      <c r="P305" s="101"/>
      <c r="Q305" s="101"/>
    </row>
    <row r="306" spans="1:17" ht="19.5">
      <c r="A306" s="101"/>
      <c r="B306" s="101"/>
      <c r="C306" s="101"/>
      <c r="D306" s="101"/>
      <c r="E306" s="101"/>
      <c r="F306" s="101"/>
      <c r="G306" s="101"/>
      <c r="H306" s="101"/>
      <c r="I306" s="101"/>
      <c r="J306" s="101"/>
      <c r="K306" s="101"/>
      <c r="L306" s="101"/>
      <c r="M306" s="101"/>
      <c r="N306" s="101"/>
      <c r="O306" s="101"/>
      <c r="P306" s="101"/>
      <c r="Q306" s="101"/>
    </row>
    <row r="307" spans="1:17" ht="19.5">
      <c r="A307" s="101"/>
      <c r="B307" s="101"/>
      <c r="C307" s="101"/>
      <c r="D307" s="101"/>
      <c r="E307" s="101"/>
      <c r="F307" s="101"/>
      <c r="G307" s="101"/>
      <c r="H307" s="101"/>
      <c r="I307" s="101"/>
      <c r="J307" s="101"/>
      <c r="K307" s="101"/>
      <c r="L307" s="101"/>
      <c r="M307" s="101"/>
      <c r="N307" s="101"/>
      <c r="O307" s="101"/>
      <c r="P307" s="101"/>
      <c r="Q307" s="101"/>
    </row>
    <row r="308" spans="1:17" ht="19.5">
      <c r="A308" s="101"/>
      <c r="B308" s="101"/>
      <c r="C308" s="101"/>
      <c r="D308" s="101"/>
      <c r="E308" s="101"/>
      <c r="F308" s="101"/>
      <c r="G308" s="101"/>
      <c r="H308" s="101"/>
      <c r="I308" s="101"/>
      <c r="J308" s="101"/>
      <c r="K308" s="101"/>
      <c r="L308" s="101"/>
      <c r="M308" s="101"/>
      <c r="N308" s="101"/>
      <c r="O308" s="101"/>
      <c r="P308" s="101"/>
      <c r="Q308" s="101"/>
    </row>
    <row r="309" spans="1:17" ht="19.5">
      <c r="A309" s="101"/>
      <c r="B309" s="101"/>
      <c r="C309" s="101"/>
      <c r="D309" s="101"/>
      <c r="E309" s="101"/>
      <c r="F309" s="101"/>
      <c r="G309" s="101"/>
      <c r="H309" s="101"/>
      <c r="I309" s="101"/>
      <c r="J309" s="101"/>
      <c r="K309" s="101"/>
      <c r="L309" s="101"/>
      <c r="M309" s="101"/>
      <c r="N309" s="101"/>
      <c r="O309" s="101"/>
      <c r="P309" s="101"/>
      <c r="Q309" s="101"/>
    </row>
    <row r="310" spans="1:17" ht="19.5">
      <c r="A310" s="101"/>
      <c r="B310" s="101"/>
      <c r="C310" s="101"/>
      <c r="D310" s="101"/>
      <c r="E310" s="101"/>
      <c r="F310" s="101"/>
      <c r="G310" s="101"/>
      <c r="H310" s="101"/>
      <c r="I310" s="101"/>
      <c r="J310" s="101"/>
      <c r="K310" s="101"/>
      <c r="L310" s="101"/>
      <c r="M310" s="101"/>
      <c r="N310" s="101"/>
      <c r="O310" s="101"/>
      <c r="P310" s="101"/>
      <c r="Q310" s="101"/>
    </row>
    <row r="311" spans="1:17" ht="19.5">
      <c r="A311" s="101"/>
      <c r="B311" s="101"/>
      <c r="C311" s="101"/>
      <c r="D311" s="101"/>
      <c r="E311" s="101"/>
      <c r="F311" s="101"/>
      <c r="G311" s="101"/>
      <c r="H311" s="101"/>
      <c r="I311" s="101"/>
      <c r="J311" s="101"/>
      <c r="K311" s="101"/>
      <c r="L311" s="101"/>
      <c r="M311" s="101"/>
      <c r="N311" s="101"/>
      <c r="O311" s="101"/>
      <c r="P311" s="101"/>
      <c r="Q311" s="101"/>
    </row>
    <row r="312" spans="1:17" ht="19.5">
      <c r="A312" s="101"/>
      <c r="B312" s="101"/>
      <c r="C312" s="101"/>
      <c r="D312" s="101"/>
      <c r="E312" s="101"/>
      <c r="F312" s="101"/>
      <c r="G312" s="101"/>
      <c r="H312" s="101"/>
      <c r="I312" s="101"/>
      <c r="J312" s="101"/>
      <c r="K312" s="101"/>
      <c r="L312" s="101"/>
      <c r="M312" s="101"/>
      <c r="N312" s="101"/>
      <c r="O312" s="101"/>
      <c r="P312" s="101"/>
      <c r="Q312" s="101"/>
    </row>
    <row r="313" spans="1:17" ht="19.5">
      <c r="A313" s="101"/>
      <c r="B313" s="101"/>
      <c r="C313" s="101"/>
      <c r="D313" s="101"/>
      <c r="E313" s="101"/>
      <c r="F313" s="101"/>
      <c r="G313" s="101"/>
      <c r="H313" s="101"/>
      <c r="I313" s="101"/>
      <c r="J313" s="101"/>
      <c r="K313" s="101"/>
      <c r="L313" s="101"/>
      <c r="M313" s="101"/>
      <c r="N313" s="101"/>
      <c r="O313" s="101"/>
      <c r="P313" s="101"/>
      <c r="Q313" s="101"/>
    </row>
    <row r="314" spans="1:17" ht="19.5">
      <c r="A314" s="101"/>
      <c r="B314" s="101"/>
      <c r="C314" s="101"/>
      <c r="D314" s="101"/>
      <c r="E314" s="101"/>
      <c r="F314" s="101"/>
      <c r="G314" s="101"/>
      <c r="H314" s="101"/>
      <c r="I314" s="101"/>
      <c r="J314" s="101"/>
      <c r="K314" s="101"/>
      <c r="L314" s="101"/>
      <c r="M314" s="101"/>
      <c r="N314" s="101"/>
      <c r="O314" s="101"/>
      <c r="P314" s="101"/>
      <c r="Q314" s="101"/>
    </row>
    <row r="315" spans="1:17" ht="19.5">
      <c r="A315" s="101"/>
      <c r="B315" s="101"/>
      <c r="C315" s="101"/>
      <c r="D315" s="101"/>
      <c r="E315" s="101"/>
      <c r="F315" s="101"/>
      <c r="G315" s="101"/>
      <c r="H315" s="101"/>
      <c r="I315" s="101"/>
      <c r="J315" s="101"/>
      <c r="K315" s="101"/>
      <c r="L315" s="101"/>
      <c r="M315" s="101"/>
      <c r="N315" s="101"/>
      <c r="O315" s="101"/>
      <c r="P315" s="101"/>
      <c r="Q315" s="101"/>
    </row>
    <row r="316" spans="1:17" ht="19.5">
      <c r="A316" s="101"/>
      <c r="B316" s="101"/>
      <c r="C316" s="101"/>
      <c r="D316" s="101"/>
      <c r="E316" s="101"/>
      <c r="F316" s="101"/>
      <c r="G316" s="101"/>
      <c r="H316" s="101"/>
      <c r="I316" s="101"/>
      <c r="J316" s="101"/>
      <c r="K316" s="101"/>
      <c r="L316" s="101"/>
      <c r="M316" s="101"/>
      <c r="N316" s="101"/>
      <c r="O316" s="101"/>
      <c r="P316" s="101"/>
      <c r="Q316" s="101"/>
    </row>
    <row r="317" spans="1:17" ht="19.5">
      <c r="A317" s="101"/>
      <c r="B317" s="101"/>
      <c r="C317" s="101"/>
      <c r="D317" s="101"/>
      <c r="E317" s="101"/>
      <c r="F317" s="101"/>
      <c r="G317" s="101"/>
      <c r="H317" s="101"/>
      <c r="I317" s="101"/>
      <c r="J317" s="101"/>
      <c r="K317" s="101"/>
      <c r="L317" s="101"/>
      <c r="M317" s="101"/>
      <c r="N317" s="101"/>
      <c r="O317" s="101"/>
      <c r="P317" s="101"/>
      <c r="Q317" s="101"/>
    </row>
    <row r="318" spans="1:17" ht="19.5">
      <c r="A318" s="101"/>
      <c r="B318" s="101"/>
      <c r="C318" s="101"/>
      <c r="D318" s="101"/>
      <c r="E318" s="101"/>
      <c r="F318" s="101"/>
      <c r="G318" s="101"/>
      <c r="H318" s="101"/>
      <c r="I318" s="101"/>
      <c r="J318" s="101"/>
      <c r="K318" s="101"/>
      <c r="L318" s="101"/>
      <c r="M318" s="101"/>
      <c r="N318" s="101"/>
      <c r="O318" s="101"/>
      <c r="P318" s="101"/>
      <c r="Q318" s="101"/>
    </row>
    <row r="319" spans="1:17" ht="19.5">
      <c r="A319" s="101"/>
      <c r="B319" s="101"/>
      <c r="C319" s="101"/>
      <c r="D319" s="101"/>
      <c r="E319" s="101"/>
      <c r="F319" s="101"/>
      <c r="G319" s="101"/>
      <c r="H319" s="101"/>
      <c r="I319" s="101"/>
      <c r="J319" s="101"/>
      <c r="K319" s="101"/>
      <c r="L319" s="101"/>
      <c r="M319" s="101"/>
      <c r="N319" s="101"/>
      <c r="O319" s="101"/>
      <c r="P319" s="101"/>
      <c r="Q319" s="101"/>
    </row>
    <row r="320" spans="1:17" ht="19.5">
      <c r="A320" s="101"/>
      <c r="B320" s="101"/>
      <c r="C320" s="101"/>
      <c r="D320" s="101"/>
      <c r="E320" s="101"/>
      <c r="F320" s="101"/>
      <c r="G320" s="101"/>
      <c r="H320" s="101"/>
      <c r="I320" s="101"/>
      <c r="J320" s="101"/>
      <c r="K320" s="101"/>
      <c r="L320" s="101"/>
      <c r="M320" s="101"/>
      <c r="N320" s="101"/>
      <c r="O320" s="101"/>
      <c r="P320" s="101"/>
      <c r="Q320" s="101"/>
    </row>
    <row r="321" spans="1:17" ht="19.5">
      <c r="A321" s="101"/>
      <c r="B321" s="101"/>
      <c r="C321" s="101"/>
      <c r="D321" s="101"/>
      <c r="E321" s="101"/>
      <c r="F321" s="101"/>
      <c r="G321" s="101"/>
      <c r="H321" s="101"/>
      <c r="I321" s="101"/>
      <c r="J321" s="101"/>
      <c r="K321" s="101"/>
      <c r="L321" s="101"/>
      <c r="M321" s="101"/>
      <c r="N321" s="101"/>
      <c r="O321" s="101"/>
      <c r="P321" s="101"/>
      <c r="Q321" s="101"/>
    </row>
    <row r="322" spans="1:17" ht="19.5">
      <c r="A322" s="101"/>
      <c r="B322" s="101"/>
      <c r="C322" s="101"/>
      <c r="D322" s="101"/>
      <c r="E322" s="101"/>
      <c r="F322" s="101"/>
      <c r="G322" s="101"/>
      <c r="H322" s="101"/>
      <c r="I322" s="101"/>
      <c r="J322" s="101"/>
      <c r="K322" s="101"/>
      <c r="L322" s="101"/>
      <c r="M322" s="101"/>
      <c r="N322" s="101"/>
      <c r="O322" s="101"/>
      <c r="P322" s="101"/>
      <c r="Q322" s="101"/>
    </row>
    <row r="323" spans="1:17" ht="19.5">
      <c r="A323" s="101"/>
      <c r="B323" s="101"/>
      <c r="C323" s="101"/>
      <c r="D323" s="101"/>
      <c r="E323" s="101"/>
      <c r="F323" s="101"/>
      <c r="G323" s="101"/>
      <c r="H323" s="101"/>
      <c r="I323" s="101"/>
      <c r="J323" s="101"/>
      <c r="K323" s="101"/>
      <c r="L323" s="101"/>
      <c r="M323" s="101"/>
      <c r="N323" s="101"/>
      <c r="O323" s="101"/>
      <c r="P323" s="101"/>
      <c r="Q323" s="101"/>
    </row>
    <row r="324" spans="1:17" ht="19.5">
      <c r="A324" s="101"/>
      <c r="B324" s="101"/>
      <c r="C324" s="101"/>
      <c r="D324" s="101"/>
      <c r="E324" s="101"/>
      <c r="F324" s="101"/>
      <c r="G324" s="101"/>
      <c r="H324" s="101"/>
      <c r="I324" s="101"/>
      <c r="J324" s="101"/>
      <c r="K324" s="101"/>
      <c r="L324" s="101"/>
      <c r="M324" s="101"/>
      <c r="N324" s="101"/>
      <c r="O324" s="101"/>
      <c r="P324" s="101"/>
      <c r="Q324" s="101"/>
    </row>
    <row r="325" spans="1:17" ht="19.5">
      <c r="A325" s="101"/>
      <c r="B325" s="101"/>
      <c r="C325" s="101"/>
      <c r="D325" s="101"/>
      <c r="E325" s="101"/>
      <c r="F325" s="101"/>
      <c r="G325" s="101"/>
      <c r="H325" s="101"/>
      <c r="I325" s="101"/>
      <c r="J325" s="101"/>
      <c r="K325" s="101"/>
      <c r="L325" s="101"/>
      <c r="M325" s="101"/>
      <c r="N325" s="101"/>
      <c r="O325" s="101"/>
      <c r="P325" s="101"/>
      <c r="Q325" s="101"/>
    </row>
    <row r="326" spans="1:17" ht="19.5">
      <c r="A326" s="101"/>
      <c r="B326" s="101"/>
      <c r="C326" s="101"/>
      <c r="D326" s="101"/>
      <c r="E326" s="101"/>
      <c r="F326" s="101"/>
      <c r="G326" s="101"/>
      <c r="H326" s="101"/>
      <c r="I326" s="101"/>
      <c r="J326" s="101"/>
      <c r="K326" s="101"/>
      <c r="L326" s="101"/>
      <c r="M326" s="101"/>
      <c r="N326" s="101"/>
      <c r="O326" s="101"/>
      <c r="P326" s="101"/>
      <c r="Q326" s="101"/>
    </row>
    <row r="327" spans="1:17" ht="19.5">
      <c r="A327" s="101"/>
      <c r="B327" s="101"/>
      <c r="C327" s="101"/>
      <c r="D327" s="101"/>
      <c r="E327" s="101"/>
      <c r="F327" s="101"/>
      <c r="G327" s="101"/>
      <c r="H327" s="101"/>
      <c r="I327" s="101"/>
      <c r="J327" s="101"/>
      <c r="K327" s="101"/>
      <c r="L327" s="101"/>
      <c r="M327" s="101"/>
      <c r="N327" s="101"/>
      <c r="O327" s="101"/>
      <c r="P327" s="101"/>
      <c r="Q327" s="101"/>
    </row>
    <row r="328" spans="1:17" ht="19.5">
      <c r="A328" s="101"/>
      <c r="B328" s="101"/>
      <c r="C328" s="101"/>
      <c r="D328" s="101"/>
      <c r="E328" s="101"/>
      <c r="F328" s="101"/>
      <c r="G328" s="101"/>
      <c r="H328" s="101"/>
      <c r="I328" s="101"/>
      <c r="J328" s="101"/>
      <c r="K328" s="101"/>
      <c r="L328" s="101"/>
      <c r="M328" s="101"/>
      <c r="N328" s="101"/>
      <c r="O328" s="101"/>
      <c r="P328" s="101"/>
      <c r="Q328" s="101"/>
    </row>
    <row r="329" spans="1:17" ht="19.5">
      <c r="A329" s="101"/>
      <c r="B329" s="101"/>
      <c r="C329" s="101"/>
      <c r="D329" s="101"/>
      <c r="E329" s="101"/>
      <c r="F329" s="101"/>
      <c r="G329" s="101"/>
      <c r="H329" s="101"/>
      <c r="I329" s="101"/>
      <c r="J329" s="101"/>
      <c r="K329" s="101"/>
      <c r="L329" s="101"/>
      <c r="M329" s="101"/>
      <c r="N329" s="101"/>
      <c r="O329" s="101"/>
      <c r="P329" s="101"/>
      <c r="Q329" s="101"/>
    </row>
  </sheetData>
  <sheetProtection/>
  <mergeCells count="11">
    <mergeCell ref="I7:I8"/>
    <mergeCell ref="J7:J8"/>
    <mergeCell ref="A5:J5"/>
    <mergeCell ref="A2:J2"/>
    <mergeCell ref="I3:J3"/>
    <mergeCell ref="A4:J4"/>
    <mergeCell ref="A7:A8"/>
    <mergeCell ref="B7:B8"/>
    <mergeCell ref="C7:C8"/>
    <mergeCell ref="D7:D8"/>
    <mergeCell ref="E7:H7"/>
  </mergeCells>
  <printOptions horizontalCentered="1"/>
  <pageMargins left="0.393055555555556" right="0.393055555555556" top="0.590277777777778" bottom="0.984027777777778" header="0.313888888888889" footer="0.313888888888889"/>
  <pageSetup firstPageNumber="1" useFirstPageNumber="1" fitToHeight="0" fitToWidth="1" horizontalDpi="600" verticalDpi="600" orientation="landscape" paperSize="9" r:id="rId1"/>
  <headerFooter differentFirst="1">
    <oddFooter>&amp;R&amp;P</oddFooter>
  </headerFooter>
</worksheet>
</file>

<file path=xl/worksheets/sheet14.xml><?xml version="1.0" encoding="utf-8"?>
<worksheet xmlns="http://schemas.openxmlformats.org/spreadsheetml/2006/main" xmlns:r="http://schemas.openxmlformats.org/officeDocument/2006/relationships">
  <sheetPr>
    <tabColor rgb="FFFF0000"/>
    <pageSetUpPr fitToPage="1"/>
  </sheetPr>
  <dimension ref="A1:M43"/>
  <sheetViews>
    <sheetView view="pageBreakPreview" zoomScale="70" zoomScaleNormal="70" zoomScaleSheetLayoutView="70" zoomScalePageLayoutView="0" workbookViewId="0" topLeftCell="A1">
      <selection activeCell="J11" sqref="J11"/>
    </sheetView>
  </sheetViews>
  <sheetFormatPr defaultColWidth="10.00390625" defaultRowHeight="15.75"/>
  <cols>
    <col min="1" max="1" width="3.875" style="252" customWidth="1"/>
    <col min="2" max="2" width="42.875" style="239" customWidth="1"/>
    <col min="3" max="3" width="11.375" style="239" customWidth="1"/>
    <col min="4" max="4" width="11.125" style="239" customWidth="1"/>
    <col min="5" max="5" width="9.75390625" style="252" customWidth="1"/>
    <col min="6" max="7" width="10.625" style="252" customWidth="1"/>
    <col min="8" max="8" width="9.25390625" style="252" customWidth="1"/>
    <col min="9" max="10" width="10.75390625" style="252" customWidth="1"/>
    <col min="11" max="16384" width="10.00390625" style="239" customWidth="1"/>
  </cols>
  <sheetData>
    <row r="1" spans="1:10" ht="19.5">
      <c r="A1" s="1459"/>
      <c r="B1" s="1460"/>
      <c r="C1" s="1460"/>
      <c r="D1" s="237"/>
      <c r="E1" s="238"/>
      <c r="F1" s="238"/>
      <c r="G1" s="238"/>
      <c r="H1" s="238"/>
      <c r="I1" s="1461" t="s">
        <v>449</v>
      </c>
      <c r="J1" s="1461"/>
    </row>
    <row r="2" spans="1:10" ht="12.75" customHeight="1">
      <c r="A2" s="1462" t="s">
        <v>973</v>
      </c>
      <c r="B2" s="1462"/>
      <c r="C2" s="1462"/>
      <c r="D2" s="1462"/>
      <c r="E2" s="1462"/>
      <c r="F2" s="1462"/>
      <c r="G2" s="1462"/>
      <c r="H2" s="1462"/>
      <c r="I2" s="1462"/>
      <c r="J2" s="1462"/>
    </row>
    <row r="3" spans="1:10" ht="16.5" customHeight="1">
      <c r="A3" s="1462" t="s">
        <v>974</v>
      </c>
      <c r="B3" s="1462"/>
      <c r="C3" s="1462"/>
      <c r="D3" s="1462"/>
      <c r="E3" s="1462"/>
      <c r="F3" s="1462"/>
      <c r="G3" s="1462"/>
      <c r="H3" s="1462"/>
      <c r="I3" s="1462"/>
      <c r="J3" s="1462"/>
    </row>
    <row r="4" spans="1:11" ht="24" customHeight="1">
      <c r="A4" s="1455" t="s">
        <v>1399</v>
      </c>
      <c r="B4" s="1455"/>
      <c r="C4" s="1455"/>
      <c r="D4" s="1455"/>
      <c r="E4" s="1455"/>
      <c r="F4" s="1455"/>
      <c r="G4" s="1455"/>
      <c r="H4" s="1455"/>
      <c r="I4" s="1455"/>
      <c r="J4" s="1455"/>
      <c r="K4" s="240"/>
    </row>
    <row r="5" spans="1:10" ht="11.25" customHeight="1">
      <c r="A5" s="238"/>
      <c r="B5" s="237"/>
      <c r="C5" s="237"/>
      <c r="D5" s="237"/>
      <c r="E5" s="238"/>
      <c r="F5" s="238"/>
      <c r="G5" s="241"/>
      <c r="H5" s="241"/>
      <c r="I5" s="1458" t="s">
        <v>975</v>
      </c>
      <c r="J5" s="1458"/>
    </row>
    <row r="6" spans="1:10" ht="23.25" customHeight="1">
      <c r="A6" s="1465" t="s">
        <v>2</v>
      </c>
      <c r="B6" s="1463"/>
      <c r="C6" s="1463" t="s">
        <v>976</v>
      </c>
      <c r="D6" s="1463" t="s">
        <v>977</v>
      </c>
      <c r="E6" s="1463" t="s">
        <v>978</v>
      </c>
      <c r="F6" s="1466" t="s">
        <v>1279</v>
      </c>
      <c r="G6" s="1467"/>
      <c r="H6" s="1463" t="s">
        <v>1287</v>
      </c>
      <c r="I6" s="1463"/>
      <c r="J6" s="1463"/>
    </row>
    <row r="7" spans="1:10" ht="13.5" customHeight="1">
      <c r="A7" s="1465"/>
      <c r="B7" s="1463"/>
      <c r="C7" s="1463"/>
      <c r="D7" s="1463"/>
      <c r="E7" s="1463"/>
      <c r="F7" s="1468"/>
      <c r="G7" s="1469"/>
      <c r="H7" s="1463" t="s">
        <v>287</v>
      </c>
      <c r="I7" s="1463" t="s">
        <v>499</v>
      </c>
      <c r="J7" s="1463"/>
    </row>
    <row r="8" spans="1:10" ht="48.75" customHeight="1">
      <c r="A8" s="1465"/>
      <c r="B8" s="1463"/>
      <c r="C8" s="1463"/>
      <c r="D8" s="1463"/>
      <c r="E8" s="1463"/>
      <c r="F8" s="242" t="s">
        <v>5</v>
      </c>
      <c r="G8" s="242" t="s">
        <v>7</v>
      </c>
      <c r="H8" s="1463"/>
      <c r="I8" s="312" t="s">
        <v>979</v>
      </c>
      <c r="J8" s="312" t="s">
        <v>980</v>
      </c>
    </row>
    <row r="9" spans="1:10" ht="22.5" customHeight="1">
      <c r="A9" s="313"/>
      <c r="B9" s="243" t="s">
        <v>293</v>
      </c>
      <c r="C9" s="244"/>
      <c r="D9" s="244"/>
      <c r="E9" s="245"/>
      <c r="F9" s="245"/>
      <c r="G9" s="245"/>
      <c r="H9" s="245"/>
      <c r="I9" s="245"/>
      <c r="J9" s="245"/>
    </row>
    <row r="10" spans="1:10" s="247" customFormat="1" ht="23.25" customHeight="1">
      <c r="A10" s="243" t="s">
        <v>104</v>
      </c>
      <c r="B10" s="246" t="s">
        <v>1061</v>
      </c>
      <c r="C10" s="246"/>
      <c r="D10" s="246"/>
      <c r="E10" s="245"/>
      <c r="F10" s="245"/>
      <c r="G10" s="245"/>
      <c r="H10" s="245"/>
      <c r="I10" s="245"/>
      <c r="J10" s="245"/>
    </row>
    <row r="11" spans="1:10" ht="51.75" customHeight="1">
      <c r="A11" s="248">
        <v>1</v>
      </c>
      <c r="B11" s="185" t="s">
        <v>1310</v>
      </c>
      <c r="C11" s="249" t="s">
        <v>1312</v>
      </c>
      <c r="D11" s="313" t="s">
        <v>1313</v>
      </c>
      <c r="E11" s="560">
        <v>3693.481</v>
      </c>
      <c r="F11" s="313"/>
      <c r="G11" s="562">
        <v>1021</v>
      </c>
      <c r="H11" s="313"/>
      <c r="I11" s="313"/>
      <c r="J11" s="313"/>
    </row>
    <row r="12" spans="1:13" ht="51" customHeight="1">
      <c r="A12" s="248">
        <v>2</v>
      </c>
      <c r="B12" s="185" t="s">
        <v>1311</v>
      </c>
      <c r="C12" s="313" t="s">
        <v>1314</v>
      </c>
      <c r="D12" s="313" t="s">
        <v>1315</v>
      </c>
      <c r="E12" s="560">
        <v>1773.023</v>
      </c>
      <c r="F12" s="313"/>
      <c r="G12" s="562">
        <v>773</v>
      </c>
      <c r="H12" s="313"/>
      <c r="I12" s="313"/>
      <c r="J12" s="313"/>
      <c r="L12" s="473"/>
      <c r="M12" s="476"/>
    </row>
    <row r="13" spans="1:12" ht="28.5" customHeight="1">
      <c r="A13" s="291" t="s">
        <v>114</v>
      </c>
      <c r="B13" s="251" t="s">
        <v>1341</v>
      </c>
      <c r="C13" s="313"/>
      <c r="D13" s="242"/>
      <c r="E13" s="561"/>
      <c r="F13" s="313"/>
      <c r="G13" s="313"/>
      <c r="H13" s="313"/>
      <c r="I13" s="313"/>
      <c r="J13" s="313"/>
      <c r="L13" s="473"/>
    </row>
    <row r="14" spans="1:12" ht="47.25">
      <c r="A14" s="248">
        <v>1</v>
      </c>
      <c r="B14" s="185" t="s">
        <v>1316</v>
      </c>
      <c r="C14" s="313"/>
      <c r="D14" s="242"/>
      <c r="E14" s="562">
        <v>931</v>
      </c>
      <c r="F14" s="559">
        <v>931</v>
      </c>
      <c r="G14" s="559">
        <v>931</v>
      </c>
      <c r="H14" s="313"/>
      <c r="I14" s="313"/>
      <c r="J14" s="313"/>
      <c r="L14" s="474"/>
    </row>
    <row r="15" spans="1:12" ht="78.75">
      <c r="A15" s="248">
        <v>2</v>
      </c>
      <c r="B15" s="185" t="s">
        <v>1317</v>
      </c>
      <c r="C15" s="313" t="s">
        <v>1314</v>
      </c>
      <c r="D15" s="242">
        <v>2019</v>
      </c>
      <c r="E15" s="560">
        <v>588.358</v>
      </c>
      <c r="F15" s="560">
        <v>588.358</v>
      </c>
      <c r="G15" s="560">
        <v>588.358</v>
      </c>
      <c r="H15" s="313"/>
      <c r="I15" s="313"/>
      <c r="J15" s="313"/>
      <c r="L15" s="474"/>
    </row>
    <row r="16" spans="1:12" ht="47.25">
      <c r="A16" s="248">
        <v>3</v>
      </c>
      <c r="B16" s="185" t="s">
        <v>1318</v>
      </c>
      <c r="C16" s="313" t="s">
        <v>1314</v>
      </c>
      <c r="D16" s="242" t="s">
        <v>1319</v>
      </c>
      <c r="E16" s="560"/>
      <c r="F16" s="560"/>
      <c r="G16" s="560"/>
      <c r="H16" s="560"/>
      <c r="I16" s="313"/>
      <c r="J16" s="313"/>
      <c r="L16" s="474"/>
    </row>
    <row r="17" spans="1:12" ht="31.5">
      <c r="A17" s="248">
        <v>4</v>
      </c>
      <c r="B17" s="185" t="s">
        <v>1320</v>
      </c>
      <c r="C17" s="313" t="s">
        <v>1314</v>
      </c>
      <c r="D17" s="242" t="s">
        <v>1319</v>
      </c>
      <c r="E17" s="560">
        <v>680</v>
      </c>
      <c r="F17" s="560">
        <v>680</v>
      </c>
      <c r="G17" s="562">
        <v>476</v>
      </c>
      <c r="H17" s="562"/>
      <c r="I17" s="313"/>
      <c r="J17" s="313"/>
      <c r="L17" s="474"/>
    </row>
    <row r="18" spans="1:12" ht="31.5">
      <c r="A18" s="248">
        <v>5</v>
      </c>
      <c r="B18" s="185" t="s">
        <v>1321</v>
      </c>
      <c r="C18" s="558" t="s">
        <v>1322</v>
      </c>
      <c r="D18" s="312" t="s">
        <v>1323</v>
      </c>
      <c r="E18" s="250"/>
      <c r="F18" s="560"/>
      <c r="G18" s="560"/>
      <c r="H18" s="562">
        <v>15510</v>
      </c>
      <c r="I18" s="562">
        <v>15510</v>
      </c>
      <c r="J18" s="313"/>
      <c r="L18" s="474"/>
    </row>
    <row r="19" spans="2:12" ht="15.75">
      <c r="B19" s="253"/>
      <c r="L19" s="475"/>
    </row>
    <row r="20" spans="1:10" ht="42.75" customHeight="1">
      <c r="A20" s="1464"/>
      <c r="B20" s="1464"/>
      <c r="C20" s="1464"/>
      <c r="D20" s="1464"/>
      <c r="E20" s="1464"/>
      <c r="F20" s="1464"/>
      <c r="G20" s="1464"/>
      <c r="H20" s="1464"/>
      <c r="I20" s="1464"/>
      <c r="J20" s="1464"/>
    </row>
    <row r="21" ht="15.75">
      <c r="B21" s="253"/>
    </row>
    <row r="22" ht="15.75">
      <c r="B22" s="253"/>
    </row>
    <row r="23" ht="15.75">
      <c r="B23" s="253"/>
    </row>
    <row r="24" ht="15.75" customHeight="1">
      <c r="B24" s="253"/>
    </row>
    <row r="25" ht="15.75">
      <c r="B25" s="253"/>
    </row>
    <row r="26" ht="15.75">
      <c r="B26" s="253"/>
    </row>
    <row r="27" ht="15.75">
      <c r="B27" s="253"/>
    </row>
    <row r="28" ht="15.75">
      <c r="B28" s="253"/>
    </row>
    <row r="29" ht="15.75">
      <c r="B29" s="253"/>
    </row>
    <row r="30" spans="1:2" ht="15.75">
      <c r="A30" s="239"/>
      <c r="B30" s="253"/>
    </row>
    <row r="31" spans="1:2" ht="15.75">
      <c r="A31" s="239"/>
      <c r="B31" s="253"/>
    </row>
    <row r="32" spans="1:2" ht="15.75">
      <c r="A32" s="239"/>
      <c r="B32" s="253"/>
    </row>
    <row r="33" spans="1:2" ht="15.75">
      <c r="A33" s="239"/>
      <c r="B33" s="253"/>
    </row>
    <row r="34" spans="1:2" ht="15.75">
      <c r="A34" s="239"/>
      <c r="B34" s="253"/>
    </row>
    <row r="35" spans="1:2" ht="15.75">
      <c r="A35" s="239"/>
      <c r="B35" s="253"/>
    </row>
    <row r="36" spans="1:2" ht="15.75">
      <c r="A36" s="239"/>
      <c r="B36" s="253"/>
    </row>
    <row r="37" spans="1:2" ht="15.75">
      <c r="A37" s="239"/>
      <c r="B37" s="253"/>
    </row>
    <row r="38" spans="1:2" ht="15.75">
      <c r="A38" s="239"/>
      <c r="B38" s="253"/>
    </row>
    <row r="39" spans="1:2" ht="15.75">
      <c r="A39" s="239"/>
      <c r="B39" s="253"/>
    </row>
    <row r="40" spans="1:2" ht="15.75">
      <c r="A40" s="239"/>
      <c r="B40" s="253"/>
    </row>
    <row r="41" spans="1:2" ht="15.75">
      <c r="A41" s="239"/>
      <c r="B41" s="253"/>
    </row>
    <row r="42" spans="1:2" ht="15.75">
      <c r="A42" s="239"/>
      <c r="B42" s="253"/>
    </row>
    <row r="43" spans="1:2" ht="15.75">
      <c r="A43" s="239"/>
      <c r="B43" s="253"/>
    </row>
  </sheetData>
  <sheetProtection/>
  <mergeCells count="16">
    <mergeCell ref="H6:J6"/>
    <mergeCell ref="H7:H8"/>
    <mergeCell ref="I7:J7"/>
    <mergeCell ref="A20:J20"/>
    <mergeCell ref="A6:A8"/>
    <mergeCell ref="B6:B8"/>
    <mergeCell ref="C6:C8"/>
    <mergeCell ref="D6:D8"/>
    <mergeCell ref="E6:E8"/>
    <mergeCell ref="F6:G7"/>
    <mergeCell ref="I5:J5"/>
    <mergeCell ref="A1:C1"/>
    <mergeCell ref="I1:J1"/>
    <mergeCell ref="A2:J2"/>
    <mergeCell ref="A3:J3"/>
    <mergeCell ref="A4:J4"/>
  </mergeCells>
  <printOptions horizontalCentered="1"/>
  <pageMargins left="0.1968503937007874" right="0.1968503937007874" top="0.1968503937007874" bottom="0.1968503937007874" header="0.31496062992125984" footer="0.31496062992125984"/>
  <pageSetup firstPageNumber="1" useFirstPageNumber="1" fitToHeight="0" fitToWidth="1" horizontalDpi="600" verticalDpi="600" orientation="landscape" paperSize="9" r:id="rId1"/>
  <headerFooter differentFirst="1">
    <oddFooter>&amp;R&amp;P</oddFooter>
  </headerFooter>
</worksheet>
</file>

<file path=xl/worksheets/sheet15.xml><?xml version="1.0" encoding="utf-8"?>
<worksheet xmlns="http://schemas.openxmlformats.org/spreadsheetml/2006/main" xmlns:r="http://schemas.openxmlformats.org/officeDocument/2006/relationships">
  <sheetPr>
    <tabColor rgb="FFFF0000"/>
  </sheetPr>
  <dimension ref="A1:T80"/>
  <sheetViews>
    <sheetView view="pageBreakPreview" zoomScaleSheetLayoutView="100" zoomScalePageLayoutView="0" workbookViewId="0" topLeftCell="A1">
      <pane xSplit="2" ySplit="7" topLeftCell="C8" activePane="bottomRight" state="frozen"/>
      <selection pane="topLeft" activeCell="F109" sqref="F109"/>
      <selection pane="topRight" activeCell="F109" sqref="F109"/>
      <selection pane="bottomLeft" activeCell="F109" sqref="F109"/>
      <selection pane="bottomRight" activeCell="H12" sqref="H12"/>
    </sheetView>
  </sheetViews>
  <sheetFormatPr defaultColWidth="8.625" defaultRowHeight="14.25" customHeight="1"/>
  <cols>
    <col min="1" max="1" width="4.75390625" style="286" customWidth="1"/>
    <col min="2" max="2" width="30.625" style="286" customWidth="1"/>
    <col min="3" max="3" width="12.875" style="286" customWidth="1"/>
    <col min="4" max="4" width="9.125" style="286" bestFit="1" customWidth="1"/>
    <col min="5" max="5" width="9.375" style="286" customWidth="1"/>
    <col min="6" max="7" width="9.125" style="286" bestFit="1" customWidth="1"/>
    <col min="8" max="8" width="7.625" style="286" customWidth="1"/>
    <col min="9" max="17" width="6.875" style="286" customWidth="1"/>
    <col min="18" max="18" width="10.00390625" style="288" customWidth="1"/>
    <col min="19" max="19" width="10.625" style="288" customWidth="1"/>
    <col min="20" max="20" width="8.75390625" style="286" bestFit="1" customWidth="1"/>
    <col min="21" max="16384" width="8.625" style="286" customWidth="1"/>
  </cols>
  <sheetData>
    <row r="1" spans="1:19" ht="14.25" customHeight="1">
      <c r="A1" s="1488" t="s">
        <v>893</v>
      </c>
      <c r="B1" s="1488"/>
      <c r="C1" s="1488"/>
      <c r="D1" s="1488"/>
      <c r="E1" s="1488"/>
      <c r="F1" s="1488"/>
      <c r="G1" s="1488"/>
      <c r="H1" s="1488"/>
      <c r="I1" s="1488"/>
      <c r="J1" s="1488"/>
      <c r="K1" s="1488"/>
      <c r="L1" s="1488"/>
      <c r="M1" s="1488"/>
      <c r="N1" s="1488"/>
      <c r="O1" s="1488"/>
      <c r="P1" s="1488"/>
      <c r="Q1" s="1488"/>
      <c r="R1" s="1488"/>
      <c r="S1" s="1488"/>
    </row>
    <row r="2" spans="1:19" ht="20.25" customHeight="1">
      <c r="A2" s="915"/>
      <c r="B2" s="1489" t="s">
        <v>1305</v>
      </c>
      <c r="C2" s="1489"/>
      <c r="D2" s="1489"/>
      <c r="E2" s="1489"/>
      <c r="F2" s="1489"/>
      <c r="G2" s="1489"/>
      <c r="H2" s="1489"/>
      <c r="I2" s="1489"/>
      <c r="J2" s="1489"/>
      <c r="K2" s="1489"/>
      <c r="L2" s="1489"/>
      <c r="M2" s="1489"/>
      <c r="N2" s="1489"/>
      <c r="O2" s="1489"/>
      <c r="P2" s="1489"/>
      <c r="Q2" s="1489"/>
      <c r="R2" s="1489"/>
      <c r="S2" s="1489"/>
    </row>
    <row r="3" spans="1:19" ht="14.25" customHeight="1">
      <c r="A3" s="1490" t="s">
        <v>1399</v>
      </c>
      <c r="B3" s="1490"/>
      <c r="C3" s="1490"/>
      <c r="D3" s="1490"/>
      <c r="E3" s="1490"/>
      <c r="F3" s="1490"/>
      <c r="G3" s="1490"/>
      <c r="H3" s="1490"/>
      <c r="I3" s="1490"/>
      <c r="J3" s="1490"/>
      <c r="K3" s="1490"/>
      <c r="L3" s="1490"/>
      <c r="M3" s="1490"/>
      <c r="N3" s="1490"/>
      <c r="O3" s="1490"/>
      <c r="P3" s="1490"/>
      <c r="Q3" s="1490"/>
      <c r="R3" s="1490"/>
      <c r="S3" s="1490"/>
    </row>
    <row r="4" spans="1:19" ht="14.25" customHeight="1">
      <c r="A4" s="916"/>
      <c r="B4" s="916"/>
      <c r="C4" s="916"/>
      <c r="D4" s="916"/>
      <c r="E4" s="916"/>
      <c r="F4" s="916"/>
      <c r="G4" s="916"/>
      <c r="H4" s="916"/>
      <c r="I4" s="916"/>
      <c r="J4" s="916"/>
      <c r="K4" s="916"/>
      <c r="L4" s="916"/>
      <c r="M4" s="916"/>
      <c r="N4" s="916"/>
      <c r="O4" s="916"/>
      <c r="P4" s="916"/>
      <c r="Q4" s="916"/>
      <c r="R4" s="916"/>
      <c r="S4" s="916"/>
    </row>
    <row r="5" spans="1:19" ht="14.25" customHeight="1">
      <c r="A5" s="1491" t="s">
        <v>387</v>
      </c>
      <c r="B5" s="1491" t="s">
        <v>894</v>
      </c>
      <c r="C5" s="1481" t="s">
        <v>4</v>
      </c>
      <c r="D5" s="1481" t="s">
        <v>1294</v>
      </c>
      <c r="E5" s="1495" t="s">
        <v>1279</v>
      </c>
      <c r="F5" s="1496"/>
      <c r="G5" s="1483" t="s">
        <v>1287</v>
      </c>
      <c r="H5" s="1484"/>
      <c r="I5" s="1484"/>
      <c r="J5" s="1484"/>
      <c r="K5" s="1484"/>
      <c r="L5" s="1484"/>
      <c r="M5" s="1484"/>
      <c r="N5" s="1484"/>
      <c r="O5" s="1484"/>
      <c r="P5" s="1484"/>
      <c r="Q5" s="1485"/>
      <c r="R5" s="1497" t="s">
        <v>895</v>
      </c>
      <c r="S5" s="1498"/>
    </row>
    <row r="6" spans="1:19" ht="14.25" customHeight="1">
      <c r="A6" s="1492"/>
      <c r="B6" s="1492"/>
      <c r="C6" s="1494"/>
      <c r="D6" s="1494"/>
      <c r="E6" s="1479" t="s">
        <v>518</v>
      </c>
      <c r="F6" s="1479" t="s">
        <v>7</v>
      </c>
      <c r="G6" s="1481" t="s">
        <v>287</v>
      </c>
      <c r="H6" s="1483" t="s">
        <v>499</v>
      </c>
      <c r="I6" s="1484"/>
      <c r="J6" s="1484"/>
      <c r="K6" s="1484"/>
      <c r="L6" s="1484"/>
      <c r="M6" s="1484"/>
      <c r="N6" s="1484"/>
      <c r="O6" s="1484"/>
      <c r="P6" s="1484"/>
      <c r="Q6" s="1485"/>
      <c r="R6" s="1486" t="s">
        <v>1308</v>
      </c>
      <c r="S6" s="1486" t="s">
        <v>1306</v>
      </c>
    </row>
    <row r="7" spans="1:19" ht="43.5" customHeight="1">
      <c r="A7" s="1493"/>
      <c r="B7" s="1493"/>
      <c r="C7" s="1482"/>
      <c r="D7" s="1482"/>
      <c r="E7" s="1480"/>
      <c r="F7" s="1480"/>
      <c r="G7" s="1482"/>
      <c r="H7" s="917" t="s">
        <v>523</v>
      </c>
      <c r="I7" s="917" t="s">
        <v>500</v>
      </c>
      <c r="J7" s="917" t="s">
        <v>686</v>
      </c>
      <c r="K7" s="917" t="s">
        <v>785</v>
      </c>
      <c r="L7" s="917" t="s">
        <v>563</v>
      </c>
      <c r="M7" s="917" t="s">
        <v>564</v>
      </c>
      <c r="N7" s="917" t="s">
        <v>896</v>
      </c>
      <c r="O7" s="917" t="s">
        <v>565</v>
      </c>
      <c r="P7" s="917" t="s">
        <v>566</v>
      </c>
      <c r="Q7" s="917" t="s">
        <v>568</v>
      </c>
      <c r="R7" s="1487"/>
      <c r="S7" s="1487"/>
    </row>
    <row r="8" spans="1:19" ht="14.25" customHeight="1">
      <c r="A8" s="918">
        <v>1</v>
      </c>
      <c r="B8" s="918">
        <v>2</v>
      </c>
      <c r="C8" s="918">
        <v>3</v>
      </c>
      <c r="D8" s="918">
        <v>4</v>
      </c>
      <c r="E8" s="918">
        <v>5</v>
      </c>
      <c r="F8" s="918">
        <v>6</v>
      </c>
      <c r="G8" s="918">
        <v>7</v>
      </c>
      <c r="H8" s="918">
        <v>8</v>
      </c>
      <c r="I8" s="918">
        <v>9</v>
      </c>
      <c r="J8" s="918">
        <v>10</v>
      </c>
      <c r="K8" s="918">
        <v>11</v>
      </c>
      <c r="L8" s="918">
        <v>12</v>
      </c>
      <c r="M8" s="918">
        <v>13</v>
      </c>
      <c r="N8" s="918">
        <v>14</v>
      </c>
      <c r="O8" s="918">
        <v>15</v>
      </c>
      <c r="P8" s="918">
        <v>16</v>
      </c>
      <c r="Q8" s="918">
        <v>17</v>
      </c>
      <c r="R8" s="919" t="s">
        <v>1307</v>
      </c>
      <c r="S8" s="919" t="s">
        <v>1309</v>
      </c>
    </row>
    <row r="9" spans="1:19" ht="14.25" customHeight="1">
      <c r="A9" s="926" t="s">
        <v>46</v>
      </c>
      <c r="B9" s="932" t="s">
        <v>897</v>
      </c>
      <c r="C9" s="933"/>
      <c r="D9" s="920"/>
      <c r="E9" s="920"/>
      <c r="F9" s="920"/>
      <c r="G9" s="934"/>
      <c r="H9" s="934"/>
      <c r="I9" s="934"/>
      <c r="J9" s="934"/>
      <c r="K9" s="934"/>
      <c r="L9" s="934"/>
      <c r="M9" s="934"/>
      <c r="N9" s="934"/>
      <c r="O9" s="934"/>
      <c r="P9" s="934"/>
      <c r="Q9" s="934"/>
      <c r="R9" s="935"/>
      <c r="S9" s="935"/>
    </row>
    <row r="10" spans="1:19" ht="14.25" customHeight="1">
      <c r="A10" s="926" t="s">
        <v>104</v>
      </c>
      <c r="B10" s="932" t="s">
        <v>898</v>
      </c>
      <c r="C10" s="917"/>
      <c r="D10" s="920"/>
      <c r="E10" s="920"/>
      <c r="F10" s="920"/>
      <c r="G10" s="920"/>
      <c r="H10" s="920"/>
      <c r="I10" s="920"/>
      <c r="J10" s="920"/>
      <c r="K10" s="920"/>
      <c r="L10" s="920"/>
      <c r="M10" s="920"/>
      <c r="N10" s="920"/>
      <c r="O10" s="920"/>
      <c r="P10" s="920"/>
      <c r="Q10" s="920"/>
      <c r="R10" s="919"/>
      <c r="S10" s="919"/>
    </row>
    <row r="11" spans="1:19" ht="14.25" customHeight="1">
      <c r="A11" s="918">
        <v>1</v>
      </c>
      <c r="B11" s="936" t="s">
        <v>899</v>
      </c>
      <c r="C11" s="933" t="s">
        <v>83</v>
      </c>
      <c r="D11" s="921">
        <v>95</v>
      </c>
      <c r="E11" s="921">
        <v>92</v>
      </c>
      <c r="F11" s="921">
        <v>99</v>
      </c>
      <c r="G11" s="921">
        <v>101</v>
      </c>
      <c r="H11" s="921"/>
      <c r="I11" s="921"/>
      <c r="J11" s="921"/>
      <c r="K11" s="921"/>
      <c r="L11" s="921"/>
      <c r="M11" s="921"/>
      <c r="N11" s="921"/>
      <c r="O11" s="921"/>
      <c r="P11" s="921"/>
      <c r="Q11" s="921"/>
      <c r="R11" s="919">
        <f>F11/D11*100</f>
        <v>104.21052631578947</v>
      </c>
      <c r="S11" s="919">
        <f>G11/F11*100</f>
        <v>102.020202020202</v>
      </c>
    </row>
    <row r="12" spans="1:19" ht="14.25" customHeight="1">
      <c r="A12" s="918">
        <v>2</v>
      </c>
      <c r="B12" s="936" t="s">
        <v>900</v>
      </c>
      <c r="C12" s="933" t="s">
        <v>19</v>
      </c>
      <c r="D12" s="921">
        <v>81.9</v>
      </c>
      <c r="E12" s="921">
        <v>79.3</v>
      </c>
      <c r="F12" s="921">
        <v>85.3</v>
      </c>
      <c r="G12" s="921">
        <v>87</v>
      </c>
      <c r="H12" s="921"/>
      <c r="I12" s="921"/>
      <c r="J12" s="921"/>
      <c r="K12" s="921"/>
      <c r="L12" s="921"/>
      <c r="M12" s="921"/>
      <c r="N12" s="921"/>
      <c r="O12" s="921"/>
      <c r="P12" s="921"/>
      <c r="Q12" s="921"/>
      <c r="R12" s="919">
        <f aca="true" t="shared" si="0" ref="R12:R32">F12/D12*100</f>
        <v>104.15140415140414</v>
      </c>
      <c r="S12" s="919">
        <f aca="true" t="shared" si="1" ref="S12:S23">G12/F12*100</f>
        <v>101.99296600234466</v>
      </c>
    </row>
    <row r="13" spans="1:20" ht="14.25" customHeight="1">
      <c r="A13" s="918">
        <v>3</v>
      </c>
      <c r="B13" s="936" t="s">
        <v>901</v>
      </c>
      <c r="C13" s="933" t="s">
        <v>902</v>
      </c>
      <c r="D13" s="927">
        <v>4175</v>
      </c>
      <c r="E13" s="927">
        <v>4186</v>
      </c>
      <c r="F13" s="927">
        <v>3830</v>
      </c>
      <c r="G13" s="927">
        <v>3830</v>
      </c>
      <c r="H13" s="927"/>
      <c r="I13" s="921"/>
      <c r="J13" s="921"/>
      <c r="K13" s="921"/>
      <c r="L13" s="921"/>
      <c r="M13" s="921"/>
      <c r="N13" s="921"/>
      <c r="O13" s="921"/>
      <c r="P13" s="921"/>
      <c r="Q13" s="921"/>
      <c r="R13" s="919">
        <f t="shared" si="0"/>
        <v>91.73652694610779</v>
      </c>
      <c r="S13" s="919">
        <f t="shared" si="1"/>
        <v>100</v>
      </c>
      <c r="T13" s="286">
        <f>SUM(H13:Q13)/10</f>
        <v>0</v>
      </c>
    </row>
    <row r="14" spans="1:20" ht="14.25" customHeight="1">
      <c r="A14" s="937">
        <v>4</v>
      </c>
      <c r="B14" s="938" t="s">
        <v>903</v>
      </c>
      <c r="C14" s="939" t="s">
        <v>904</v>
      </c>
      <c r="D14" s="921">
        <v>4.69</v>
      </c>
      <c r="E14" s="921">
        <v>4.65</v>
      </c>
      <c r="F14" s="921">
        <v>4.46</v>
      </c>
      <c r="G14" s="921">
        <v>4.43</v>
      </c>
      <c r="H14" s="921"/>
      <c r="I14" s="921"/>
      <c r="J14" s="921"/>
      <c r="K14" s="921"/>
      <c r="L14" s="921"/>
      <c r="M14" s="921"/>
      <c r="N14" s="921"/>
      <c r="O14" s="921"/>
      <c r="P14" s="921"/>
      <c r="Q14" s="921"/>
      <c r="R14" s="919">
        <f t="shared" si="0"/>
        <v>95.0959488272921</v>
      </c>
      <c r="S14" s="919">
        <f t="shared" si="1"/>
        <v>99.32735426008968</v>
      </c>
      <c r="T14" s="286">
        <f>SUM(H14:Q14)/10</f>
        <v>0</v>
      </c>
    </row>
    <row r="15" spans="1:19" ht="14.25" customHeight="1">
      <c r="A15" s="918">
        <v>5</v>
      </c>
      <c r="B15" s="936" t="s">
        <v>905</v>
      </c>
      <c r="C15" s="933" t="s">
        <v>18</v>
      </c>
      <c r="D15" s="927">
        <v>124563</v>
      </c>
      <c r="E15" s="927">
        <v>125880</v>
      </c>
      <c r="F15" s="927">
        <v>152900</v>
      </c>
      <c r="G15" s="927">
        <v>155000</v>
      </c>
      <c r="H15" s="921"/>
      <c r="I15" s="921"/>
      <c r="J15" s="921"/>
      <c r="K15" s="921"/>
      <c r="L15" s="921"/>
      <c r="M15" s="921"/>
      <c r="N15" s="921"/>
      <c r="O15" s="921"/>
      <c r="P15" s="921"/>
      <c r="Q15" s="921"/>
      <c r="R15" s="919">
        <f t="shared" si="0"/>
        <v>122.74913096184261</v>
      </c>
      <c r="S15" s="919">
        <f t="shared" si="1"/>
        <v>101.3734466971877</v>
      </c>
    </row>
    <row r="16" spans="1:19" ht="14.25" customHeight="1">
      <c r="A16" s="926" t="s">
        <v>114</v>
      </c>
      <c r="B16" s="932" t="s">
        <v>906</v>
      </c>
      <c r="C16" s="917"/>
      <c r="D16" s="921"/>
      <c r="E16" s="921"/>
      <c r="F16" s="921"/>
      <c r="G16" s="922"/>
      <c r="H16" s="921"/>
      <c r="I16" s="921"/>
      <c r="J16" s="921"/>
      <c r="K16" s="921"/>
      <c r="L16" s="921"/>
      <c r="M16" s="921"/>
      <c r="N16" s="921"/>
      <c r="O16" s="921"/>
      <c r="P16" s="921"/>
      <c r="Q16" s="921"/>
      <c r="R16" s="919"/>
      <c r="S16" s="919"/>
    </row>
    <row r="17" spans="1:20" ht="14.25" customHeight="1">
      <c r="A17" s="918">
        <v>6</v>
      </c>
      <c r="B17" s="936" t="s">
        <v>907</v>
      </c>
      <c r="C17" s="933" t="s">
        <v>908</v>
      </c>
      <c r="D17" s="927">
        <v>567323</v>
      </c>
      <c r="E17" s="927">
        <v>543683</v>
      </c>
      <c r="F17" s="927">
        <v>506045</v>
      </c>
      <c r="G17" s="927">
        <v>430000</v>
      </c>
      <c r="H17" s="921"/>
      <c r="I17" s="921"/>
      <c r="J17" s="921"/>
      <c r="K17" s="921"/>
      <c r="L17" s="921"/>
      <c r="M17" s="921"/>
      <c r="N17" s="921"/>
      <c r="O17" s="921"/>
      <c r="P17" s="921"/>
      <c r="Q17" s="921"/>
      <c r="R17" s="919">
        <f t="shared" si="0"/>
        <v>89.19874568808245</v>
      </c>
      <c r="S17" s="919">
        <f t="shared" si="1"/>
        <v>84.97268029523066</v>
      </c>
      <c r="T17" s="287">
        <f>+F17/E17*100</f>
        <v>93.07721595120685</v>
      </c>
    </row>
    <row r="18" spans="1:19" ht="14.25" customHeight="1">
      <c r="A18" s="918">
        <v>7</v>
      </c>
      <c r="B18" s="936" t="s">
        <v>909</v>
      </c>
      <c r="C18" s="933" t="s">
        <v>910</v>
      </c>
      <c r="D18" s="921">
        <v>98.5</v>
      </c>
      <c r="E18" s="921">
        <v>92.8</v>
      </c>
      <c r="F18" s="921">
        <v>70.14</v>
      </c>
      <c r="G18" s="921">
        <v>72.17</v>
      </c>
      <c r="H18" s="921"/>
      <c r="I18" s="921"/>
      <c r="J18" s="921"/>
      <c r="K18" s="921"/>
      <c r="L18" s="921"/>
      <c r="M18" s="921"/>
      <c r="N18" s="921"/>
      <c r="O18" s="921"/>
      <c r="P18" s="921"/>
      <c r="Q18" s="921"/>
      <c r="R18" s="919">
        <f t="shared" si="0"/>
        <v>71.20812182741116</v>
      </c>
      <c r="S18" s="919">
        <f t="shared" si="1"/>
        <v>102.8942115768463</v>
      </c>
    </row>
    <row r="19" spans="1:19" ht="14.25" customHeight="1">
      <c r="A19" s="918">
        <v>8</v>
      </c>
      <c r="B19" s="936" t="s">
        <v>911</v>
      </c>
      <c r="C19" s="933" t="s">
        <v>779</v>
      </c>
      <c r="D19" s="927">
        <v>1240</v>
      </c>
      <c r="E19" s="927">
        <v>1250</v>
      </c>
      <c r="F19" s="927">
        <v>1274</v>
      </c>
      <c r="G19" s="927">
        <v>1344</v>
      </c>
      <c r="H19" s="921"/>
      <c r="I19" s="921"/>
      <c r="J19" s="921"/>
      <c r="K19" s="921"/>
      <c r="L19" s="921"/>
      <c r="M19" s="921"/>
      <c r="N19" s="921"/>
      <c r="O19" s="921"/>
      <c r="P19" s="921"/>
      <c r="Q19" s="921"/>
      <c r="R19" s="919">
        <f t="shared" si="0"/>
        <v>102.74193548387096</v>
      </c>
      <c r="S19" s="919">
        <f t="shared" si="1"/>
        <v>105.4945054945055</v>
      </c>
    </row>
    <row r="20" spans="1:19" ht="14.25" customHeight="1">
      <c r="A20" s="918">
        <v>9</v>
      </c>
      <c r="B20" s="936" t="s">
        <v>912</v>
      </c>
      <c r="C20" s="933" t="s">
        <v>83</v>
      </c>
      <c r="D20" s="927">
        <v>130</v>
      </c>
      <c r="E20" s="927">
        <v>130</v>
      </c>
      <c r="F20" s="927">
        <v>130</v>
      </c>
      <c r="G20" s="927">
        <v>130</v>
      </c>
      <c r="H20" s="921"/>
      <c r="I20" s="921"/>
      <c r="J20" s="921"/>
      <c r="K20" s="921"/>
      <c r="L20" s="921"/>
      <c r="M20" s="921"/>
      <c r="N20" s="921"/>
      <c r="O20" s="921"/>
      <c r="P20" s="921"/>
      <c r="Q20" s="921"/>
      <c r="R20" s="919">
        <f t="shared" si="0"/>
        <v>100</v>
      </c>
      <c r="S20" s="919">
        <f t="shared" si="1"/>
        <v>100</v>
      </c>
    </row>
    <row r="21" spans="1:19" ht="14.25" customHeight="1">
      <c r="A21" s="918">
        <v>10</v>
      </c>
      <c r="B21" s="936" t="s">
        <v>913</v>
      </c>
      <c r="C21" s="933" t="s">
        <v>914</v>
      </c>
      <c r="D21" s="940">
        <v>4</v>
      </c>
      <c r="E21" s="921">
        <v>4</v>
      </c>
      <c r="F21" s="940">
        <v>4</v>
      </c>
      <c r="G21" s="940">
        <v>4</v>
      </c>
      <c r="H21" s="921"/>
      <c r="I21" s="921"/>
      <c r="J21" s="921"/>
      <c r="K21" s="921"/>
      <c r="L21" s="921"/>
      <c r="M21" s="921"/>
      <c r="N21" s="921"/>
      <c r="O21" s="921"/>
      <c r="P21" s="921"/>
      <c r="Q21" s="921"/>
      <c r="R21" s="919">
        <f t="shared" si="0"/>
        <v>100</v>
      </c>
      <c r="S21" s="919">
        <f t="shared" si="1"/>
        <v>100</v>
      </c>
    </row>
    <row r="22" spans="1:19" ht="14.25" customHeight="1">
      <c r="A22" s="918">
        <v>11</v>
      </c>
      <c r="B22" s="936" t="s">
        <v>915</v>
      </c>
      <c r="C22" s="933" t="s">
        <v>914</v>
      </c>
      <c r="D22" s="941">
        <v>471</v>
      </c>
      <c r="E22" s="921">
        <v>480</v>
      </c>
      <c r="F22" s="920">
        <v>519</v>
      </c>
      <c r="G22" s="920">
        <v>520</v>
      </c>
      <c r="H22" s="921"/>
      <c r="I22" s="921"/>
      <c r="J22" s="921"/>
      <c r="K22" s="921"/>
      <c r="L22" s="921"/>
      <c r="M22" s="921"/>
      <c r="N22" s="921"/>
      <c r="O22" s="921"/>
      <c r="P22" s="921"/>
      <c r="Q22" s="921"/>
      <c r="R22" s="919">
        <f t="shared" si="0"/>
        <v>110.19108280254777</v>
      </c>
      <c r="S22" s="919">
        <f t="shared" si="1"/>
        <v>100.1926782273603</v>
      </c>
    </row>
    <row r="23" spans="1:19" ht="14.25" customHeight="1">
      <c r="A23" s="918">
        <v>12</v>
      </c>
      <c r="B23" s="936" t="s">
        <v>916</v>
      </c>
      <c r="C23" s="933" t="s">
        <v>917</v>
      </c>
      <c r="D23" s="941">
        <v>3651</v>
      </c>
      <c r="E23" s="927">
        <v>3821</v>
      </c>
      <c r="F23" s="920">
        <v>3990</v>
      </c>
      <c r="G23" s="920">
        <v>4000</v>
      </c>
      <c r="H23" s="921"/>
      <c r="I23" s="921"/>
      <c r="J23" s="921"/>
      <c r="K23" s="921"/>
      <c r="L23" s="921"/>
      <c r="M23" s="921"/>
      <c r="N23" s="921"/>
      <c r="O23" s="921"/>
      <c r="P23" s="921"/>
      <c r="Q23" s="921"/>
      <c r="R23" s="919">
        <f t="shared" si="0"/>
        <v>109.28512736236648</v>
      </c>
      <c r="S23" s="919">
        <f t="shared" si="1"/>
        <v>100.25062656641603</v>
      </c>
    </row>
    <row r="24" spans="1:19" ht="14.25" customHeight="1">
      <c r="A24" s="918">
        <v>13</v>
      </c>
      <c r="B24" s="936" t="s">
        <v>918</v>
      </c>
      <c r="C24" s="933" t="s">
        <v>917</v>
      </c>
      <c r="D24" s="921"/>
      <c r="E24" s="921"/>
      <c r="F24" s="921"/>
      <c r="G24" s="921"/>
      <c r="H24" s="921"/>
      <c r="I24" s="921"/>
      <c r="J24" s="921"/>
      <c r="K24" s="921"/>
      <c r="L24" s="921"/>
      <c r="M24" s="921"/>
      <c r="N24" s="921"/>
      <c r="O24" s="921"/>
      <c r="P24" s="921"/>
      <c r="Q24" s="921"/>
      <c r="R24" s="919"/>
      <c r="S24" s="919"/>
    </row>
    <row r="25" spans="1:19" ht="14.25" customHeight="1">
      <c r="A25" s="918">
        <v>14</v>
      </c>
      <c r="B25" s="936" t="s">
        <v>919</v>
      </c>
      <c r="C25" s="933" t="s">
        <v>19</v>
      </c>
      <c r="D25" s="921"/>
      <c r="E25" s="921"/>
      <c r="F25" s="921"/>
      <c r="G25" s="921"/>
      <c r="H25" s="921"/>
      <c r="I25" s="921"/>
      <c r="J25" s="921"/>
      <c r="K25" s="921"/>
      <c r="L25" s="921"/>
      <c r="M25" s="921"/>
      <c r="N25" s="921"/>
      <c r="O25" s="921"/>
      <c r="P25" s="921"/>
      <c r="Q25" s="921"/>
      <c r="R25" s="919"/>
      <c r="S25" s="919"/>
    </row>
    <row r="26" spans="1:19" ht="14.25" customHeight="1">
      <c r="A26" s="918">
        <v>15</v>
      </c>
      <c r="B26" s="936" t="s">
        <v>920</v>
      </c>
      <c r="C26" s="933" t="s">
        <v>18</v>
      </c>
      <c r="D26" s="927">
        <v>337527</v>
      </c>
      <c r="E26" s="927">
        <v>375000</v>
      </c>
      <c r="F26" s="927">
        <v>359439</v>
      </c>
      <c r="G26" s="927">
        <v>366351</v>
      </c>
      <c r="H26" s="921"/>
      <c r="I26" s="921"/>
      <c r="J26" s="921"/>
      <c r="K26" s="921"/>
      <c r="L26" s="921"/>
      <c r="M26" s="921"/>
      <c r="N26" s="921"/>
      <c r="O26" s="921"/>
      <c r="P26" s="921"/>
      <c r="Q26" s="921"/>
      <c r="R26" s="919">
        <f t="shared" si="0"/>
        <v>106.4919250904372</v>
      </c>
      <c r="S26" s="919">
        <f aca="true" t="shared" si="2" ref="S26:S32">G26/F26*100</f>
        <v>101.92299666981046</v>
      </c>
    </row>
    <row r="27" spans="1:19" ht="14.25" customHeight="1">
      <c r="A27" s="926" t="s">
        <v>118</v>
      </c>
      <c r="B27" s="932" t="s">
        <v>921</v>
      </c>
      <c r="C27" s="917"/>
      <c r="D27" s="921"/>
      <c r="E27" s="921"/>
      <c r="F27" s="921"/>
      <c r="G27" s="922"/>
      <c r="H27" s="921"/>
      <c r="I27" s="921"/>
      <c r="J27" s="921"/>
      <c r="K27" s="921"/>
      <c r="L27" s="921"/>
      <c r="M27" s="921"/>
      <c r="N27" s="921"/>
      <c r="O27" s="921"/>
      <c r="P27" s="921"/>
      <c r="Q27" s="921"/>
      <c r="R27" s="919"/>
      <c r="S27" s="919"/>
    </row>
    <row r="28" spans="1:20" ht="14.25" customHeight="1">
      <c r="A28" s="918">
        <v>16</v>
      </c>
      <c r="B28" s="936" t="s">
        <v>922</v>
      </c>
      <c r="C28" s="933" t="s">
        <v>908</v>
      </c>
      <c r="D28" s="927">
        <v>37639</v>
      </c>
      <c r="E28" s="927">
        <v>40000</v>
      </c>
      <c r="F28" s="927">
        <v>40332</v>
      </c>
      <c r="G28" s="927">
        <v>43000</v>
      </c>
      <c r="H28" s="921"/>
      <c r="I28" s="921"/>
      <c r="J28" s="921"/>
      <c r="K28" s="921"/>
      <c r="L28" s="921"/>
      <c r="M28" s="921"/>
      <c r="N28" s="921"/>
      <c r="O28" s="921"/>
      <c r="P28" s="921"/>
      <c r="Q28" s="921"/>
      <c r="R28" s="919">
        <f t="shared" si="0"/>
        <v>107.15481282712081</v>
      </c>
      <c r="S28" s="919">
        <f t="shared" si="2"/>
        <v>106.61509471387485</v>
      </c>
      <c r="T28" s="287">
        <f>+F28/E28*100</f>
        <v>100.83</v>
      </c>
    </row>
    <row r="29" spans="1:20" ht="14.25" customHeight="1">
      <c r="A29" s="918">
        <v>17</v>
      </c>
      <c r="B29" s="936" t="s">
        <v>923</v>
      </c>
      <c r="C29" s="933" t="s">
        <v>924</v>
      </c>
      <c r="D29" s="921">
        <v>6.5</v>
      </c>
      <c r="E29" s="921">
        <v>6.8</v>
      </c>
      <c r="F29" s="921">
        <v>7</v>
      </c>
      <c r="G29" s="921">
        <v>7.2</v>
      </c>
      <c r="H29" s="921"/>
      <c r="I29" s="921"/>
      <c r="J29" s="921"/>
      <c r="K29" s="921"/>
      <c r="L29" s="921"/>
      <c r="M29" s="921"/>
      <c r="N29" s="921"/>
      <c r="O29" s="921"/>
      <c r="P29" s="921"/>
      <c r="Q29" s="921"/>
      <c r="R29" s="919">
        <f t="shared" si="0"/>
        <v>107.6923076923077</v>
      </c>
      <c r="S29" s="919">
        <f t="shared" si="2"/>
        <v>102.85714285714288</v>
      </c>
      <c r="T29" s="286">
        <f>SUM(H29:Q29)/10</f>
        <v>0</v>
      </c>
    </row>
    <row r="30" spans="1:19" ht="14.25" customHeight="1">
      <c r="A30" s="918">
        <v>18</v>
      </c>
      <c r="B30" s="936" t="s">
        <v>925</v>
      </c>
      <c r="C30" s="933" t="s">
        <v>83</v>
      </c>
      <c r="D30" s="927">
        <v>130</v>
      </c>
      <c r="E30" s="927">
        <v>130</v>
      </c>
      <c r="F30" s="927">
        <v>130</v>
      </c>
      <c r="G30" s="927">
        <v>130</v>
      </c>
      <c r="H30" s="921"/>
      <c r="I30" s="921"/>
      <c r="J30" s="921"/>
      <c r="K30" s="921"/>
      <c r="L30" s="921"/>
      <c r="M30" s="921"/>
      <c r="N30" s="921"/>
      <c r="O30" s="921"/>
      <c r="P30" s="921"/>
      <c r="Q30" s="921"/>
      <c r="R30" s="919">
        <f t="shared" si="0"/>
        <v>100</v>
      </c>
      <c r="S30" s="919">
        <f t="shared" si="2"/>
        <v>100</v>
      </c>
    </row>
    <row r="31" spans="1:19" ht="14.25" customHeight="1">
      <c r="A31" s="918">
        <v>19</v>
      </c>
      <c r="B31" s="936" t="s">
        <v>926</v>
      </c>
      <c r="C31" s="933" t="s">
        <v>19</v>
      </c>
      <c r="D31" s="927">
        <v>100</v>
      </c>
      <c r="E31" s="927">
        <v>100</v>
      </c>
      <c r="F31" s="927">
        <v>100</v>
      </c>
      <c r="G31" s="927">
        <v>100</v>
      </c>
      <c r="H31" s="921"/>
      <c r="I31" s="921"/>
      <c r="J31" s="921"/>
      <c r="K31" s="921"/>
      <c r="L31" s="921"/>
      <c r="M31" s="921"/>
      <c r="N31" s="921"/>
      <c r="O31" s="921"/>
      <c r="P31" s="921"/>
      <c r="Q31" s="921"/>
      <c r="R31" s="919">
        <f t="shared" si="0"/>
        <v>100</v>
      </c>
      <c r="S31" s="919">
        <f t="shared" si="2"/>
        <v>100</v>
      </c>
    </row>
    <row r="32" spans="1:19" ht="14.25" customHeight="1">
      <c r="A32" s="918">
        <v>20</v>
      </c>
      <c r="B32" s="942" t="s">
        <v>927</v>
      </c>
      <c r="C32" s="933" t="s">
        <v>18</v>
      </c>
      <c r="D32" s="927">
        <v>43510</v>
      </c>
      <c r="E32" s="927">
        <v>45000</v>
      </c>
      <c r="F32" s="927">
        <v>59676</v>
      </c>
      <c r="G32" s="927">
        <v>65000</v>
      </c>
      <c r="H32" s="921"/>
      <c r="I32" s="921"/>
      <c r="J32" s="921"/>
      <c r="K32" s="921"/>
      <c r="L32" s="921"/>
      <c r="M32" s="921"/>
      <c r="N32" s="921"/>
      <c r="O32" s="921"/>
      <c r="P32" s="921"/>
      <c r="Q32" s="921"/>
      <c r="R32" s="919">
        <f t="shared" si="0"/>
        <v>137.15467708572743</v>
      </c>
      <c r="S32" s="919">
        <f t="shared" si="2"/>
        <v>108.9215094845499</v>
      </c>
    </row>
    <row r="33" spans="1:19" ht="14.25" customHeight="1">
      <c r="A33" s="926" t="s">
        <v>88</v>
      </c>
      <c r="B33" s="926" t="s">
        <v>928</v>
      </c>
      <c r="C33" s="933"/>
      <c r="D33" s="921"/>
      <c r="E33" s="921"/>
      <c r="F33" s="921"/>
      <c r="G33" s="922"/>
      <c r="H33" s="922"/>
      <c r="I33" s="922"/>
      <c r="J33" s="922"/>
      <c r="K33" s="922"/>
      <c r="L33" s="922"/>
      <c r="M33" s="922"/>
      <c r="N33" s="922"/>
      <c r="O33" s="922"/>
      <c r="P33" s="922"/>
      <c r="Q33" s="922"/>
      <c r="R33" s="919"/>
      <c r="S33" s="919"/>
    </row>
    <row r="34" spans="1:19" ht="14.25" customHeight="1">
      <c r="A34" s="926" t="s">
        <v>104</v>
      </c>
      <c r="B34" s="932" t="s">
        <v>929</v>
      </c>
      <c r="C34" s="917"/>
      <c r="D34" s="921"/>
      <c r="E34" s="921"/>
      <c r="F34" s="921"/>
      <c r="G34" s="922"/>
      <c r="H34" s="922"/>
      <c r="I34" s="922"/>
      <c r="J34" s="922"/>
      <c r="K34" s="922"/>
      <c r="L34" s="922"/>
      <c r="M34" s="922"/>
      <c r="N34" s="922"/>
      <c r="O34" s="922"/>
      <c r="P34" s="922"/>
      <c r="Q34" s="922"/>
      <c r="R34" s="919"/>
      <c r="S34" s="919"/>
    </row>
    <row r="35" spans="1:19" ht="14.25" customHeight="1">
      <c r="A35" s="918">
        <v>21</v>
      </c>
      <c r="B35" s="936" t="s">
        <v>930</v>
      </c>
      <c r="C35" s="933" t="s">
        <v>931</v>
      </c>
      <c r="D35" s="927">
        <v>278</v>
      </c>
      <c r="E35" s="927">
        <v>330</v>
      </c>
      <c r="F35" s="927">
        <v>330</v>
      </c>
      <c r="G35" s="927">
        <v>330</v>
      </c>
      <c r="H35" s="921"/>
      <c r="I35" s="921"/>
      <c r="J35" s="921"/>
      <c r="K35" s="921"/>
      <c r="L35" s="921"/>
      <c r="M35" s="921"/>
      <c r="N35" s="921"/>
      <c r="O35" s="921"/>
      <c r="P35" s="921"/>
      <c r="Q35" s="921"/>
      <c r="R35" s="919">
        <f aca="true" t="shared" si="3" ref="R35:R52">F35/D35*100</f>
        <v>118.70503597122301</v>
      </c>
      <c r="S35" s="919">
        <f aca="true" t="shared" si="4" ref="S35:S52">G35/F35*100</f>
        <v>100</v>
      </c>
    </row>
    <row r="36" spans="1:19" ht="14.25" customHeight="1">
      <c r="A36" s="918">
        <v>22</v>
      </c>
      <c r="B36" s="936" t="s">
        <v>932</v>
      </c>
      <c r="C36" s="933" t="s">
        <v>515</v>
      </c>
      <c r="D36" s="927">
        <v>719790</v>
      </c>
      <c r="E36" s="927">
        <v>810000</v>
      </c>
      <c r="F36" s="927">
        <v>810000</v>
      </c>
      <c r="G36" s="927">
        <v>810000</v>
      </c>
      <c r="H36" s="921"/>
      <c r="I36" s="921"/>
      <c r="J36" s="921"/>
      <c r="K36" s="921"/>
      <c r="L36" s="921"/>
      <c r="M36" s="921"/>
      <c r="N36" s="921"/>
      <c r="O36" s="921"/>
      <c r="P36" s="921"/>
      <c r="Q36" s="921"/>
      <c r="R36" s="919">
        <f t="shared" si="3"/>
        <v>112.53282207310467</v>
      </c>
      <c r="S36" s="919">
        <f t="shared" si="4"/>
        <v>100</v>
      </c>
    </row>
    <row r="37" spans="1:19" ht="21" customHeight="1">
      <c r="A37" s="918">
        <v>23</v>
      </c>
      <c r="B37" s="943" t="s">
        <v>933</v>
      </c>
      <c r="C37" s="933" t="s">
        <v>934</v>
      </c>
      <c r="D37" s="921">
        <v>1.2</v>
      </c>
      <c r="E37" s="921">
        <v>1.4</v>
      </c>
      <c r="F37" s="921">
        <v>1.3</v>
      </c>
      <c r="G37" s="921">
        <v>1.4</v>
      </c>
      <c r="H37" s="921"/>
      <c r="I37" s="921"/>
      <c r="J37" s="921"/>
      <c r="K37" s="921"/>
      <c r="L37" s="921"/>
      <c r="M37" s="921"/>
      <c r="N37" s="921"/>
      <c r="O37" s="921"/>
      <c r="P37" s="921"/>
      <c r="Q37" s="921"/>
      <c r="R37" s="919">
        <f t="shared" si="3"/>
        <v>108.33333333333334</v>
      </c>
      <c r="S37" s="919">
        <f t="shared" si="4"/>
        <v>107.6923076923077</v>
      </c>
    </row>
    <row r="38" spans="1:19" ht="14.25" customHeight="1">
      <c r="A38" s="918">
        <v>24</v>
      </c>
      <c r="B38" s="936" t="s">
        <v>935</v>
      </c>
      <c r="C38" s="933" t="s">
        <v>18</v>
      </c>
      <c r="D38" s="927">
        <v>20350</v>
      </c>
      <c r="E38" s="927">
        <v>16800</v>
      </c>
      <c r="F38" s="927">
        <v>19500</v>
      </c>
      <c r="G38" s="927">
        <v>20110</v>
      </c>
      <c r="H38" s="921"/>
      <c r="I38" s="921"/>
      <c r="J38" s="921"/>
      <c r="K38" s="921"/>
      <c r="L38" s="921"/>
      <c r="M38" s="921"/>
      <c r="N38" s="921"/>
      <c r="O38" s="921"/>
      <c r="P38" s="921"/>
      <c r="Q38" s="921"/>
      <c r="R38" s="919">
        <f t="shared" si="3"/>
        <v>95.82309582309583</v>
      </c>
      <c r="S38" s="919">
        <f t="shared" si="4"/>
        <v>103.12820512820512</v>
      </c>
    </row>
    <row r="39" spans="1:19" ht="14.25" customHeight="1">
      <c r="A39" s="926" t="s">
        <v>114</v>
      </c>
      <c r="B39" s="932" t="s">
        <v>936</v>
      </c>
      <c r="C39" s="917"/>
      <c r="D39" s="927"/>
      <c r="E39" s="927"/>
      <c r="F39" s="927"/>
      <c r="G39" s="930"/>
      <c r="H39" s="922"/>
      <c r="I39" s="922"/>
      <c r="J39" s="922"/>
      <c r="K39" s="922"/>
      <c r="L39" s="922"/>
      <c r="M39" s="922"/>
      <c r="N39" s="922"/>
      <c r="O39" s="922"/>
      <c r="P39" s="922"/>
      <c r="Q39" s="922"/>
      <c r="R39" s="919"/>
      <c r="S39" s="919"/>
    </row>
    <row r="40" spans="1:19" ht="14.25" customHeight="1">
      <c r="A40" s="918">
        <v>25</v>
      </c>
      <c r="B40" s="936" t="s">
        <v>937</v>
      </c>
      <c r="C40" s="933" t="s">
        <v>938</v>
      </c>
      <c r="D40" s="927">
        <v>54662</v>
      </c>
      <c r="E40" s="927">
        <v>55115</v>
      </c>
      <c r="F40" s="930">
        <v>67470</v>
      </c>
      <c r="G40" s="927">
        <v>67470</v>
      </c>
      <c r="H40" s="921"/>
      <c r="I40" s="921"/>
      <c r="J40" s="921"/>
      <c r="K40" s="921"/>
      <c r="L40" s="921"/>
      <c r="M40" s="921"/>
      <c r="N40" s="921"/>
      <c r="O40" s="921"/>
      <c r="P40" s="921"/>
      <c r="Q40" s="921"/>
      <c r="R40" s="919">
        <f t="shared" si="3"/>
        <v>123.4312685229227</v>
      </c>
      <c r="S40" s="919">
        <f t="shared" si="4"/>
        <v>100</v>
      </c>
    </row>
    <row r="41" spans="1:19" ht="14.25" customHeight="1">
      <c r="A41" s="918">
        <v>26</v>
      </c>
      <c r="B41" s="936" t="s">
        <v>939</v>
      </c>
      <c r="C41" s="933" t="s">
        <v>938</v>
      </c>
      <c r="D41" s="927">
        <v>84708</v>
      </c>
      <c r="E41" s="930">
        <v>85410</v>
      </c>
      <c r="F41" s="930">
        <v>85410</v>
      </c>
      <c r="G41" s="930">
        <v>85410</v>
      </c>
      <c r="H41" s="922"/>
      <c r="I41" s="922"/>
      <c r="J41" s="922"/>
      <c r="K41" s="922"/>
      <c r="L41" s="922"/>
      <c r="M41" s="922"/>
      <c r="N41" s="922"/>
      <c r="O41" s="922"/>
      <c r="P41" s="922"/>
      <c r="Q41" s="922"/>
      <c r="R41" s="919">
        <f t="shared" si="3"/>
        <v>100.82872928176796</v>
      </c>
      <c r="S41" s="919">
        <f t="shared" si="4"/>
        <v>100</v>
      </c>
    </row>
    <row r="42" spans="1:19" ht="25.5" customHeight="1">
      <c r="A42" s="918">
        <v>27</v>
      </c>
      <c r="B42" s="936" t="s">
        <v>940</v>
      </c>
      <c r="C42" s="933" t="s">
        <v>938</v>
      </c>
      <c r="D42" s="956">
        <v>46590</v>
      </c>
      <c r="E42" s="927">
        <v>65700</v>
      </c>
      <c r="F42" s="927">
        <v>65700</v>
      </c>
      <c r="G42" s="927">
        <v>65700</v>
      </c>
      <c r="H42" s="921"/>
      <c r="I42" s="921"/>
      <c r="J42" s="921"/>
      <c r="K42" s="921"/>
      <c r="L42" s="921"/>
      <c r="M42" s="921"/>
      <c r="N42" s="921"/>
      <c r="O42" s="921"/>
      <c r="P42" s="921"/>
      <c r="Q42" s="921"/>
      <c r="R42" s="919">
        <f t="shared" si="3"/>
        <v>141.01738570508692</v>
      </c>
      <c r="S42" s="919">
        <f t="shared" si="4"/>
        <v>100</v>
      </c>
    </row>
    <row r="43" spans="1:19" ht="25.5" customHeight="1">
      <c r="A43" s="918">
        <v>28</v>
      </c>
      <c r="B43" s="936" t="s">
        <v>941</v>
      </c>
      <c r="C43" s="933" t="s">
        <v>19</v>
      </c>
      <c r="D43" s="927">
        <v>55</v>
      </c>
      <c r="E43" s="927">
        <v>77</v>
      </c>
      <c r="F43" s="927">
        <v>77</v>
      </c>
      <c r="G43" s="927">
        <v>77</v>
      </c>
      <c r="H43" s="921"/>
      <c r="I43" s="921"/>
      <c r="J43" s="921"/>
      <c r="K43" s="921"/>
      <c r="L43" s="921"/>
      <c r="M43" s="921"/>
      <c r="N43" s="921"/>
      <c r="O43" s="921"/>
      <c r="P43" s="921"/>
      <c r="Q43" s="921"/>
      <c r="R43" s="919">
        <f t="shared" si="3"/>
        <v>140</v>
      </c>
      <c r="S43" s="919">
        <f t="shared" si="4"/>
        <v>100</v>
      </c>
    </row>
    <row r="44" spans="1:19" ht="14.25" customHeight="1">
      <c r="A44" s="918">
        <v>29</v>
      </c>
      <c r="B44" s="936" t="s">
        <v>942</v>
      </c>
      <c r="C44" s="933" t="s">
        <v>943</v>
      </c>
      <c r="D44" s="927">
        <v>58</v>
      </c>
      <c r="E44" s="927">
        <v>65</v>
      </c>
      <c r="F44" s="927">
        <v>76</v>
      </c>
      <c r="G44" s="927">
        <v>91</v>
      </c>
      <c r="H44" s="921"/>
      <c r="I44" s="921"/>
      <c r="J44" s="921"/>
      <c r="K44" s="921"/>
      <c r="L44" s="921"/>
      <c r="M44" s="921"/>
      <c r="N44" s="921"/>
      <c r="O44" s="921"/>
      <c r="P44" s="921"/>
      <c r="Q44" s="921"/>
      <c r="R44" s="919">
        <f t="shared" si="3"/>
        <v>131.0344827586207</v>
      </c>
      <c r="S44" s="919">
        <f t="shared" si="4"/>
        <v>119.73684210526316</v>
      </c>
    </row>
    <row r="45" spans="1:19" ht="14.25" customHeight="1">
      <c r="A45" s="918">
        <v>30</v>
      </c>
      <c r="B45" s="936" t="s">
        <v>944</v>
      </c>
      <c r="C45" s="933" t="s">
        <v>83</v>
      </c>
      <c r="D45" s="927">
        <v>58</v>
      </c>
      <c r="E45" s="927">
        <v>65</v>
      </c>
      <c r="F45" s="927">
        <v>76</v>
      </c>
      <c r="G45" s="927">
        <v>91</v>
      </c>
      <c r="H45" s="921"/>
      <c r="I45" s="921"/>
      <c r="J45" s="921"/>
      <c r="K45" s="921"/>
      <c r="L45" s="921"/>
      <c r="M45" s="921"/>
      <c r="N45" s="921"/>
      <c r="O45" s="921"/>
      <c r="P45" s="921"/>
      <c r="Q45" s="921"/>
      <c r="R45" s="919">
        <f t="shared" si="3"/>
        <v>131.0344827586207</v>
      </c>
      <c r="S45" s="919">
        <f t="shared" si="4"/>
        <v>119.73684210526316</v>
      </c>
    </row>
    <row r="46" spans="1:19" ht="14.25" customHeight="1">
      <c r="A46" s="918">
        <v>31</v>
      </c>
      <c r="B46" s="936" t="s">
        <v>945</v>
      </c>
      <c r="C46" s="933" t="s">
        <v>19</v>
      </c>
      <c r="D46" s="927">
        <v>44.6</v>
      </c>
      <c r="E46" s="927">
        <v>50</v>
      </c>
      <c r="F46" s="927">
        <v>58.5</v>
      </c>
      <c r="G46" s="927">
        <v>70</v>
      </c>
      <c r="H46" s="921"/>
      <c r="I46" s="921"/>
      <c r="J46" s="921"/>
      <c r="K46" s="921"/>
      <c r="L46" s="921"/>
      <c r="M46" s="921"/>
      <c r="N46" s="921"/>
      <c r="O46" s="921"/>
      <c r="P46" s="921"/>
      <c r="Q46" s="921"/>
      <c r="R46" s="919">
        <f t="shared" si="3"/>
        <v>131.1659192825112</v>
      </c>
      <c r="S46" s="919">
        <f t="shared" si="4"/>
        <v>119.65811965811966</v>
      </c>
    </row>
    <row r="47" spans="1:19" ht="14.25" customHeight="1">
      <c r="A47" s="918">
        <v>32</v>
      </c>
      <c r="B47" s="936" t="s">
        <v>946</v>
      </c>
      <c r="C47" s="933" t="s">
        <v>122</v>
      </c>
      <c r="D47" s="927">
        <v>122596</v>
      </c>
      <c r="E47" s="927">
        <v>124683</v>
      </c>
      <c r="F47" s="927">
        <f>E47</f>
        <v>124683</v>
      </c>
      <c r="G47" s="927">
        <v>127667</v>
      </c>
      <c r="H47" s="921"/>
      <c r="I47" s="921"/>
      <c r="J47" s="921"/>
      <c r="K47" s="921"/>
      <c r="L47" s="921"/>
      <c r="M47" s="921"/>
      <c r="N47" s="921"/>
      <c r="O47" s="921"/>
      <c r="P47" s="921"/>
      <c r="Q47" s="921"/>
      <c r="R47" s="919">
        <f t="shared" si="3"/>
        <v>101.702339391171</v>
      </c>
      <c r="S47" s="919">
        <f t="shared" si="4"/>
        <v>102.39326933102349</v>
      </c>
    </row>
    <row r="48" spans="1:19" ht="14.25" customHeight="1">
      <c r="A48" s="918">
        <v>33</v>
      </c>
      <c r="B48" s="936" t="s">
        <v>947</v>
      </c>
      <c r="C48" s="933" t="s">
        <v>19</v>
      </c>
      <c r="D48" s="927">
        <v>100</v>
      </c>
      <c r="E48" s="927">
        <v>100</v>
      </c>
      <c r="F48" s="927">
        <v>100</v>
      </c>
      <c r="G48" s="927">
        <v>100</v>
      </c>
      <c r="H48" s="921"/>
      <c r="I48" s="921"/>
      <c r="J48" s="921"/>
      <c r="K48" s="921"/>
      <c r="L48" s="921"/>
      <c r="M48" s="921"/>
      <c r="N48" s="921"/>
      <c r="O48" s="921"/>
      <c r="P48" s="921"/>
      <c r="Q48" s="921"/>
      <c r="R48" s="919">
        <f t="shared" si="3"/>
        <v>100</v>
      </c>
      <c r="S48" s="919">
        <f t="shared" si="4"/>
        <v>100</v>
      </c>
    </row>
    <row r="49" spans="1:19" ht="22.5" customHeight="1">
      <c r="A49" s="918">
        <v>34</v>
      </c>
      <c r="B49" s="942" t="s">
        <v>948</v>
      </c>
      <c r="C49" s="933" t="s">
        <v>83</v>
      </c>
      <c r="D49" s="927">
        <v>130</v>
      </c>
      <c r="E49" s="927">
        <v>130</v>
      </c>
      <c r="F49" s="927">
        <v>130</v>
      </c>
      <c r="G49" s="927">
        <v>130</v>
      </c>
      <c r="H49" s="921"/>
      <c r="I49" s="921"/>
      <c r="J49" s="921"/>
      <c r="K49" s="921"/>
      <c r="L49" s="921"/>
      <c r="M49" s="921"/>
      <c r="N49" s="921"/>
      <c r="O49" s="921"/>
      <c r="P49" s="921"/>
      <c r="Q49" s="921"/>
      <c r="R49" s="919">
        <f t="shared" si="3"/>
        <v>100</v>
      </c>
      <c r="S49" s="919">
        <f t="shared" si="4"/>
        <v>100</v>
      </c>
    </row>
    <row r="50" spans="1:19" ht="14.25" customHeight="1">
      <c r="A50" s="918">
        <v>35</v>
      </c>
      <c r="B50" s="936" t="s">
        <v>949</v>
      </c>
      <c r="C50" s="933" t="s">
        <v>19</v>
      </c>
      <c r="D50" s="927">
        <v>100</v>
      </c>
      <c r="E50" s="927">
        <v>100</v>
      </c>
      <c r="F50" s="927">
        <v>100</v>
      </c>
      <c r="G50" s="927">
        <v>100</v>
      </c>
      <c r="H50" s="921"/>
      <c r="I50" s="921"/>
      <c r="J50" s="921"/>
      <c r="K50" s="921"/>
      <c r="L50" s="921"/>
      <c r="M50" s="921"/>
      <c r="N50" s="921"/>
      <c r="O50" s="921"/>
      <c r="P50" s="921"/>
      <c r="Q50" s="921"/>
      <c r="R50" s="919">
        <f t="shared" si="3"/>
        <v>100</v>
      </c>
      <c r="S50" s="919">
        <f t="shared" si="4"/>
        <v>100</v>
      </c>
    </row>
    <row r="51" spans="1:19" ht="14.25" customHeight="1">
      <c r="A51" s="918">
        <v>36</v>
      </c>
      <c r="B51" s="936" t="s">
        <v>950</v>
      </c>
      <c r="C51" s="933" t="s">
        <v>122</v>
      </c>
      <c r="D51" s="927">
        <v>122596</v>
      </c>
      <c r="E51" s="927">
        <v>124683</v>
      </c>
      <c r="F51" s="927">
        <f>E51</f>
        <v>124683</v>
      </c>
      <c r="G51" s="927">
        <v>127667</v>
      </c>
      <c r="H51" s="921"/>
      <c r="I51" s="921"/>
      <c r="J51" s="921"/>
      <c r="K51" s="921"/>
      <c r="L51" s="921"/>
      <c r="M51" s="921"/>
      <c r="N51" s="921"/>
      <c r="O51" s="921"/>
      <c r="P51" s="921"/>
      <c r="Q51" s="921"/>
      <c r="R51" s="919">
        <f t="shared" si="3"/>
        <v>101.702339391171</v>
      </c>
      <c r="S51" s="919">
        <f t="shared" si="4"/>
        <v>102.39326933102349</v>
      </c>
    </row>
    <row r="52" spans="1:19" ht="14.25" customHeight="1">
      <c r="A52" s="918">
        <v>37</v>
      </c>
      <c r="B52" s="936" t="s">
        <v>951</v>
      </c>
      <c r="C52" s="933" t="s">
        <v>19</v>
      </c>
      <c r="D52" s="927">
        <v>100</v>
      </c>
      <c r="E52" s="927">
        <v>100</v>
      </c>
      <c r="F52" s="927">
        <v>100</v>
      </c>
      <c r="G52" s="927">
        <v>100</v>
      </c>
      <c r="H52" s="921"/>
      <c r="I52" s="921"/>
      <c r="J52" s="921"/>
      <c r="K52" s="921"/>
      <c r="L52" s="921"/>
      <c r="M52" s="921"/>
      <c r="N52" s="921"/>
      <c r="O52" s="921"/>
      <c r="P52" s="921"/>
      <c r="Q52" s="921"/>
      <c r="R52" s="919">
        <f t="shared" si="3"/>
        <v>100</v>
      </c>
      <c r="S52" s="919">
        <f t="shared" si="4"/>
        <v>100</v>
      </c>
    </row>
    <row r="53" spans="1:19" ht="14.25" customHeight="1">
      <c r="A53" s="926" t="s">
        <v>118</v>
      </c>
      <c r="B53" s="932" t="s">
        <v>952</v>
      </c>
      <c r="C53" s="917"/>
      <c r="D53" s="927"/>
      <c r="E53" s="927"/>
      <c r="F53" s="927"/>
      <c r="G53" s="930"/>
      <c r="H53" s="922"/>
      <c r="I53" s="922"/>
      <c r="J53" s="922"/>
      <c r="K53" s="922"/>
      <c r="L53" s="922"/>
      <c r="M53" s="922"/>
      <c r="N53" s="922"/>
      <c r="O53" s="922"/>
      <c r="P53" s="922"/>
      <c r="Q53" s="922"/>
      <c r="R53" s="919"/>
      <c r="S53" s="919"/>
    </row>
    <row r="54" spans="1:19" ht="14.25" customHeight="1">
      <c r="A54" s="918">
        <v>38</v>
      </c>
      <c r="B54" s="936" t="s">
        <v>953</v>
      </c>
      <c r="C54" s="933" t="s">
        <v>938</v>
      </c>
      <c r="D54" s="927">
        <v>267604</v>
      </c>
      <c r="E54" s="927">
        <v>268604</v>
      </c>
      <c r="F54" s="927">
        <v>268604</v>
      </c>
      <c r="G54" s="927">
        <v>268604</v>
      </c>
      <c r="H54" s="921"/>
      <c r="I54" s="921"/>
      <c r="J54" s="921"/>
      <c r="K54" s="921"/>
      <c r="L54" s="921"/>
      <c r="M54" s="921"/>
      <c r="N54" s="921"/>
      <c r="O54" s="921"/>
      <c r="P54" s="921"/>
      <c r="Q54" s="921"/>
      <c r="R54" s="919">
        <f aca="true" t="shared" si="5" ref="R54:R61">F54/D54*100</f>
        <v>100.37368649198069</v>
      </c>
      <c r="S54" s="919">
        <f aca="true" t="shared" si="6" ref="S54:S61">G54/F54*100</f>
        <v>100</v>
      </c>
    </row>
    <row r="55" spans="1:19" ht="25.5" customHeight="1">
      <c r="A55" s="918">
        <v>39</v>
      </c>
      <c r="B55" s="936" t="s">
        <v>954</v>
      </c>
      <c r="C55" s="933" t="s">
        <v>938</v>
      </c>
      <c r="D55" s="927">
        <v>117416</v>
      </c>
      <c r="E55" s="927">
        <v>117416</v>
      </c>
      <c r="F55" s="927">
        <v>118417</v>
      </c>
      <c r="G55" s="927">
        <v>118417</v>
      </c>
      <c r="H55" s="921"/>
      <c r="I55" s="921"/>
      <c r="J55" s="921"/>
      <c r="K55" s="921"/>
      <c r="L55" s="921"/>
      <c r="M55" s="921"/>
      <c r="N55" s="921"/>
      <c r="O55" s="921"/>
      <c r="P55" s="921"/>
      <c r="Q55" s="921"/>
      <c r="R55" s="919">
        <f t="shared" si="5"/>
        <v>100.8525243578388</v>
      </c>
      <c r="S55" s="919">
        <f t="shared" si="6"/>
        <v>100</v>
      </c>
    </row>
    <row r="56" spans="1:19" ht="14.25" customHeight="1">
      <c r="A56" s="918">
        <v>40</v>
      </c>
      <c r="B56" s="936" t="s">
        <v>955</v>
      </c>
      <c r="C56" s="933" t="s">
        <v>122</v>
      </c>
      <c r="D56" s="927">
        <v>122596</v>
      </c>
      <c r="E56" s="927">
        <v>124683</v>
      </c>
      <c r="F56" s="927">
        <f>E56</f>
        <v>124683</v>
      </c>
      <c r="G56" s="927">
        <v>127667</v>
      </c>
      <c r="H56" s="944"/>
      <c r="I56" s="944"/>
      <c r="J56" s="944"/>
      <c r="K56" s="944"/>
      <c r="L56" s="944"/>
      <c r="M56" s="944"/>
      <c r="N56" s="944"/>
      <c r="O56" s="944"/>
      <c r="P56" s="944"/>
      <c r="Q56" s="944"/>
      <c r="R56" s="919">
        <f t="shared" si="5"/>
        <v>101.702339391171</v>
      </c>
      <c r="S56" s="919">
        <f t="shared" si="6"/>
        <v>102.39326933102349</v>
      </c>
    </row>
    <row r="57" spans="1:19" ht="14.25" customHeight="1">
      <c r="A57" s="918">
        <v>41</v>
      </c>
      <c r="B57" s="936" t="s">
        <v>956</v>
      </c>
      <c r="C57" s="933" t="s">
        <v>19</v>
      </c>
      <c r="D57" s="927">
        <v>100</v>
      </c>
      <c r="E57" s="927">
        <v>100</v>
      </c>
      <c r="F57" s="927">
        <v>100</v>
      </c>
      <c r="G57" s="927">
        <v>100</v>
      </c>
      <c r="H57" s="944"/>
      <c r="I57" s="944"/>
      <c r="J57" s="944"/>
      <c r="K57" s="944"/>
      <c r="L57" s="944"/>
      <c r="M57" s="944"/>
      <c r="N57" s="944"/>
      <c r="O57" s="944"/>
      <c r="P57" s="944"/>
      <c r="Q57" s="944"/>
      <c r="R57" s="919">
        <f t="shared" si="5"/>
        <v>100</v>
      </c>
      <c r="S57" s="919">
        <f t="shared" si="6"/>
        <v>100</v>
      </c>
    </row>
    <row r="58" spans="1:19" ht="14.25" customHeight="1">
      <c r="A58" s="918">
        <v>42</v>
      </c>
      <c r="B58" s="936" t="s">
        <v>957</v>
      </c>
      <c r="C58" s="933" t="s">
        <v>83</v>
      </c>
      <c r="D58" s="927">
        <v>130</v>
      </c>
      <c r="E58" s="927">
        <v>130</v>
      </c>
      <c r="F58" s="927">
        <v>130</v>
      </c>
      <c r="G58" s="927">
        <v>130</v>
      </c>
      <c r="H58" s="944"/>
      <c r="I58" s="944"/>
      <c r="J58" s="944"/>
      <c r="K58" s="944"/>
      <c r="L58" s="944"/>
      <c r="M58" s="944"/>
      <c r="N58" s="944"/>
      <c r="O58" s="944"/>
      <c r="P58" s="944"/>
      <c r="Q58" s="944"/>
      <c r="R58" s="919">
        <f t="shared" si="5"/>
        <v>100</v>
      </c>
      <c r="S58" s="919">
        <f t="shared" si="6"/>
        <v>100</v>
      </c>
    </row>
    <row r="59" spans="1:19" ht="14.25" customHeight="1">
      <c r="A59" s="918">
        <v>43</v>
      </c>
      <c r="B59" s="936" t="s">
        <v>958</v>
      </c>
      <c r="C59" s="933" t="s">
        <v>19</v>
      </c>
      <c r="D59" s="927">
        <v>100</v>
      </c>
      <c r="E59" s="927">
        <v>100</v>
      </c>
      <c r="F59" s="927">
        <v>100</v>
      </c>
      <c r="G59" s="927">
        <v>100</v>
      </c>
      <c r="H59" s="944"/>
      <c r="I59" s="944"/>
      <c r="J59" s="944"/>
      <c r="K59" s="944"/>
      <c r="L59" s="944"/>
      <c r="M59" s="944"/>
      <c r="N59" s="944"/>
      <c r="O59" s="944"/>
      <c r="P59" s="944"/>
      <c r="Q59" s="944"/>
      <c r="R59" s="919">
        <f t="shared" si="5"/>
        <v>100</v>
      </c>
      <c r="S59" s="919">
        <f t="shared" si="6"/>
        <v>100</v>
      </c>
    </row>
    <row r="60" spans="1:19" ht="14.25" customHeight="1">
      <c r="A60" s="918">
        <v>44</v>
      </c>
      <c r="B60" s="936" t="s">
        <v>959</v>
      </c>
      <c r="C60" s="933" t="s">
        <v>122</v>
      </c>
      <c r="D60" s="927">
        <v>122596</v>
      </c>
      <c r="E60" s="927">
        <v>124683</v>
      </c>
      <c r="F60" s="927">
        <f>E60</f>
        <v>124683</v>
      </c>
      <c r="G60" s="927">
        <v>127667</v>
      </c>
      <c r="H60" s="944"/>
      <c r="I60" s="944"/>
      <c r="J60" s="944"/>
      <c r="K60" s="944"/>
      <c r="L60" s="944"/>
      <c r="M60" s="944"/>
      <c r="N60" s="944"/>
      <c r="O60" s="944"/>
      <c r="P60" s="944"/>
      <c r="Q60" s="944"/>
      <c r="R60" s="919">
        <f t="shared" si="5"/>
        <v>101.702339391171</v>
      </c>
      <c r="S60" s="919">
        <f t="shared" si="6"/>
        <v>102.39326933102349</v>
      </c>
    </row>
    <row r="61" spans="1:19" ht="14.25" customHeight="1">
      <c r="A61" s="918">
        <v>45</v>
      </c>
      <c r="B61" s="936" t="s">
        <v>960</v>
      </c>
      <c r="C61" s="933" t="s">
        <v>19</v>
      </c>
      <c r="D61" s="927">
        <v>100</v>
      </c>
      <c r="E61" s="927">
        <v>100</v>
      </c>
      <c r="F61" s="927">
        <v>100</v>
      </c>
      <c r="G61" s="927">
        <v>100</v>
      </c>
      <c r="H61" s="944"/>
      <c r="I61" s="944"/>
      <c r="J61" s="944"/>
      <c r="K61" s="944"/>
      <c r="L61" s="944"/>
      <c r="M61" s="944"/>
      <c r="N61" s="944"/>
      <c r="O61" s="944"/>
      <c r="P61" s="944"/>
      <c r="Q61" s="944"/>
      <c r="R61" s="919">
        <f t="shared" si="5"/>
        <v>100</v>
      </c>
      <c r="S61" s="919">
        <f t="shared" si="6"/>
        <v>100</v>
      </c>
    </row>
    <row r="62" spans="1:19" ht="14.25" customHeight="1">
      <c r="A62" s="945" t="s">
        <v>98</v>
      </c>
      <c r="B62" s="946" t="s">
        <v>961</v>
      </c>
      <c r="C62" s="947"/>
      <c r="D62" s="948"/>
      <c r="E62" s="927"/>
      <c r="F62" s="948"/>
      <c r="G62" s="949"/>
      <c r="H62" s="950"/>
      <c r="I62" s="950"/>
      <c r="J62" s="950"/>
      <c r="K62" s="950"/>
      <c r="L62" s="950"/>
      <c r="M62" s="950"/>
      <c r="N62" s="950"/>
      <c r="O62" s="950"/>
      <c r="P62" s="950"/>
      <c r="Q62" s="950"/>
      <c r="R62" s="919"/>
      <c r="S62" s="919"/>
    </row>
    <row r="63" spans="1:19" ht="27.75" customHeight="1">
      <c r="A63" s="926">
        <v>46</v>
      </c>
      <c r="B63" s="942" t="s">
        <v>962</v>
      </c>
      <c r="C63" s="933"/>
      <c r="D63" s="927">
        <v>4314</v>
      </c>
      <c r="E63" s="927">
        <v>4514</v>
      </c>
      <c r="F63" s="927">
        <v>5113</v>
      </c>
      <c r="G63" s="927">
        <v>5318</v>
      </c>
      <c r="H63" s="922"/>
      <c r="I63" s="922"/>
      <c r="J63" s="922"/>
      <c r="K63" s="922"/>
      <c r="L63" s="922"/>
      <c r="M63" s="922"/>
      <c r="N63" s="922"/>
      <c r="O63" s="922"/>
      <c r="P63" s="922"/>
      <c r="Q63" s="922"/>
      <c r="R63" s="919">
        <f aca="true" t="shared" si="7" ref="R63:R69">F63/D63*100</f>
        <v>118.52109411219287</v>
      </c>
      <c r="S63" s="919">
        <f aca="true" t="shared" si="8" ref="S63:S69">G63/F63*100</f>
        <v>104.00938783493056</v>
      </c>
    </row>
    <row r="64" spans="1:19" ht="14.25" customHeight="1">
      <c r="A64" s="1470"/>
      <c r="B64" s="936" t="s">
        <v>963</v>
      </c>
      <c r="C64" s="1476" t="s">
        <v>964</v>
      </c>
      <c r="D64" s="927">
        <v>96</v>
      </c>
      <c r="E64" s="928">
        <v>96</v>
      </c>
      <c r="F64" s="928">
        <v>100</v>
      </c>
      <c r="G64" s="928">
        <v>105</v>
      </c>
      <c r="H64" s="923"/>
      <c r="I64" s="923"/>
      <c r="J64" s="923"/>
      <c r="K64" s="923"/>
      <c r="L64" s="923"/>
      <c r="M64" s="923"/>
      <c r="N64" s="923"/>
      <c r="O64" s="923"/>
      <c r="P64" s="923"/>
      <c r="Q64" s="923"/>
      <c r="R64" s="919">
        <f t="shared" si="7"/>
        <v>104.16666666666667</v>
      </c>
      <c r="S64" s="919">
        <f t="shared" si="8"/>
        <v>105</v>
      </c>
    </row>
    <row r="65" spans="1:19" ht="14.25" customHeight="1">
      <c r="A65" s="1472"/>
      <c r="B65" s="942" t="s">
        <v>965</v>
      </c>
      <c r="C65" s="1477"/>
      <c r="D65" s="927">
        <v>4218</v>
      </c>
      <c r="E65" s="927">
        <v>4418</v>
      </c>
      <c r="F65" s="927">
        <v>5013</v>
      </c>
      <c r="G65" s="927">
        <v>5213</v>
      </c>
      <c r="H65" s="924"/>
      <c r="I65" s="924"/>
      <c r="J65" s="924"/>
      <c r="K65" s="924"/>
      <c r="L65" s="924"/>
      <c r="M65" s="924"/>
      <c r="N65" s="924"/>
      <c r="O65" s="924"/>
      <c r="P65" s="924"/>
      <c r="Q65" s="924"/>
      <c r="R65" s="919">
        <f t="shared" si="7"/>
        <v>118.84779516358464</v>
      </c>
      <c r="S65" s="919">
        <f t="shared" si="8"/>
        <v>103.98962696987833</v>
      </c>
    </row>
    <row r="66" spans="1:19" ht="32.25" customHeight="1">
      <c r="A66" s="918">
        <v>47</v>
      </c>
      <c r="B66" s="942" t="s">
        <v>966</v>
      </c>
      <c r="C66" s="933"/>
      <c r="D66" s="929"/>
      <c r="E66" s="929"/>
      <c r="F66" s="929"/>
      <c r="G66" s="929"/>
      <c r="H66" s="924"/>
      <c r="I66" s="924"/>
      <c r="J66" s="924"/>
      <c r="K66" s="924"/>
      <c r="L66" s="924"/>
      <c r="M66" s="924"/>
      <c r="N66" s="924"/>
      <c r="O66" s="924"/>
      <c r="P66" s="924"/>
      <c r="Q66" s="924"/>
      <c r="R66" s="919"/>
      <c r="S66" s="919"/>
    </row>
    <row r="67" spans="1:19" ht="14.25" customHeight="1">
      <c r="A67" s="1470"/>
      <c r="B67" s="951" t="s">
        <v>967</v>
      </c>
      <c r="C67" s="1470" t="s">
        <v>19</v>
      </c>
      <c r="D67" s="927">
        <v>100</v>
      </c>
      <c r="E67" s="930">
        <v>100</v>
      </c>
      <c r="F67" s="930">
        <v>100</v>
      </c>
      <c r="G67" s="930">
        <v>100</v>
      </c>
      <c r="H67" s="922"/>
      <c r="I67" s="922"/>
      <c r="J67" s="922"/>
      <c r="K67" s="922"/>
      <c r="L67" s="922"/>
      <c r="M67" s="922"/>
      <c r="N67" s="922"/>
      <c r="O67" s="922"/>
      <c r="P67" s="922"/>
      <c r="Q67" s="922"/>
      <c r="R67" s="919">
        <f t="shared" si="7"/>
        <v>100</v>
      </c>
      <c r="S67" s="919">
        <f t="shared" si="8"/>
        <v>100</v>
      </c>
    </row>
    <row r="68" spans="1:19" ht="14.25" customHeight="1">
      <c r="A68" s="1471"/>
      <c r="B68" s="951" t="s">
        <v>968</v>
      </c>
      <c r="C68" s="1471"/>
      <c r="D68" s="927">
        <v>100</v>
      </c>
      <c r="E68" s="930">
        <v>100</v>
      </c>
      <c r="F68" s="930">
        <v>100</v>
      </c>
      <c r="G68" s="930">
        <v>100</v>
      </c>
      <c r="H68" s="922"/>
      <c r="I68" s="922"/>
      <c r="J68" s="922"/>
      <c r="K68" s="922"/>
      <c r="L68" s="922"/>
      <c r="M68" s="922"/>
      <c r="N68" s="922"/>
      <c r="O68" s="922"/>
      <c r="P68" s="922"/>
      <c r="Q68" s="922"/>
      <c r="R68" s="919">
        <f t="shared" si="7"/>
        <v>100</v>
      </c>
      <c r="S68" s="919">
        <f t="shared" si="8"/>
        <v>100</v>
      </c>
    </row>
    <row r="69" spans="1:19" ht="14.25" customHeight="1">
      <c r="A69" s="1472"/>
      <c r="B69" s="951" t="s">
        <v>969</v>
      </c>
      <c r="C69" s="1472"/>
      <c r="D69" s="927">
        <v>80</v>
      </c>
      <c r="E69" s="930">
        <v>80</v>
      </c>
      <c r="F69" s="930">
        <v>87</v>
      </c>
      <c r="G69" s="930">
        <v>89</v>
      </c>
      <c r="H69" s="922"/>
      <c r="I69" s="922"/>
      <c r="J69" s="922"/>
      <c r="K69" s="922"/>
      <c r="L69" s="922"/>
      <c r="M69" s="922"/>
      <c r="N69" s="922"/>
      <c r="O69" s="922"/>
      <c r="P69" s="922"/>
      <c r="Q69" s="922"/>
      <c r="R69" s="919">
        <f t="shared" si="7"/>
        <v>108.74999999999999</v>
      </c>
      <c r="S69" s="919">
        <f t="shared" si="8"/>
        <v>102.29885057471265</v>
      </c>
    </row>
    <row r="70" spans="1:19" ht="14.25" customHeight="1">
      <c r="A70" s="918">
        <v>48</v>
      </c>
      <c r="B70" s="951" t="s">
        <v>970</v>
      </c>
      <c r="C70" s="918"/>
      <c r="D70" s="929"/>
      <c r="E70" s="930"/>
      <c r="F70" s="930"/>
      <c r="G70" s="930"/>
      <c r="H70" s="922"/>
      <c r="I70" s="922"/>
      <c r="J70" s="922"/>
      <c r="K70" s="922"/>
      <c r="L70" s="922"/>
      <c r="M70" s="922"/>
      <c r="N70" s="922"/>
      <c r="O70" s="922"/>
      <c r="P70" s="922"/>
      <c r="Q70" s="922"/>
      <c r="R70" s="919"/>
      <c r="S70" s="919"/>
    </row>
    <row r="71" spans="1:19" ht="14.25" customHeight="1">
      <c r="A71" s="1470"/>
      <c r="B71" s="951" t="s">
        <v>967</v>
      </c>
      <c r="C71" s="1476" t="s">
        <v>19</v>
      </c>
      <c r="D71" s="927">
        <v>100</v>
      </c>
      <c r="E71" s="930">
        <v>100</v>
      </c>
      <c r="F71" s="930">
        <v>100</v>
      </c>
      <c r="G71" s="930">
        <v>100</v>
      </c>
      <c r="H71" s="922"/>
      <c r="I71" s="922"/>
      <c r="J71" s="922"/>
      <c r="K71" s="922"/>
      <c r="L71" s="922"/>
      <c r="M71" s="922"/>
      <c r="N71" s="922"/>
      <c r="O71" s="922"/>
      <c r="P71" s="922"/>
      <c r="Q71" s="922"/>
      <c r="R71" s="919">
        <v>100</v>
      </c>
      <c r="S71" s="919">
        <v>100</v>
      </c>
    </row>
    <row r="72" spans="1:19" ht="14.25" customHeight="1">
      <c r="A72" s="1471"/>
      <c r="B72" s="951" t="s">
        <v>968</v>
      </c>
      <c r="C72" s="1478"/>
      <c r="D72" s="927">
        <v>100</v>
      </c>
      <c r="E72" s="930">
        <v>100</v>
      </c>
      <c r="F72" s="930">
        <v>100</v>
      </c>
      <c r="G72" s="930">
        <v>100</v>
      </c>
      <c r="H72" s="922"/>
      <c r="I72" s="922"/>
      <c r="J72" s="922"/>
      <c r="K72" s="922"/>
      <c r="L72" s="922"/>
      <c r="M72" s="922"/>
      <c r="N72" s="922"/>
      <c r="O72" s="922"/>
      <c r="P72" s="922"/>
      <c r="Q72" s="922"/>
      <c r="R72" s="919">
        <v>100</v>
      </c>
      <c r="S72" s="919">
        <v>100</v>
      </c>
    </row>
    <row r="73" spans="1:19" ht="14.25" customHeight="1">
      <c r="A73" s="1472"/>
      <c r="B73" s="951" t="s">
        <v>969</v>
      </c>
      <c r="C73" s="1477"/>
      <c r="D73" s="927">
        <v>55</v>
      </c>
      <c r="E73" s="930">
        <v>60</v>
      </c>
      <c r="F73" s="930">
        <v>64</v>
      </c>
      <c r="G73" s="930">
        <v>69</v>
      </c>
      <c r="H73" s="922"/>
      <c r="I73" s="922"/>
      <c r="J73" s="922"/>
      <c r="K73" s="922"/>
      <c r="L73" s="922"/>
      <c r="M73" s="922"/>
      <c r="N73" s="922"/>
      <c r="O73" s="922"/>
      <c r="P73" s="922"/>
      <c r="Q73" s="922"/>
      <c r="R73" s="919">
        <v>116.36363636363636</v>
      </c>
      <c r="S73" s="919">
        <v>107.8125</v>
      </c>
    </row>
    <row r="74" spans="1:19" ht="42.75" customHeight="1">
      <c r="A74" s="918">
        <v>49</v>
      </c>
      <c r="B74" s="943" t="s">
        <v>971</v>
      </c>
      <c r="C74" s="952" t="s">
        <v>19</v>
      </c>
      <c r="D74" s="927">
        <v>100</v>
      </c>
      <c r="E74" s="927">
        <v>100</v>
      </c>
      <c r="F74" s="927">
        <v>100</v>
      </c>
      <c r="G74" s="927">
        <v>100</v>
      </c>
      <c r="H74" s="925"/>
      <c r="I74" s="925"/>
      <c r="J74" s="925"/>
      <c r="K74" s="925"/>
      <c r="L74" s="925"/>
      <c r="M74" s="925"/>
      <c r="N74" s="925"/>
      <c r="O74" s="925"/>
      <c r="P74" s="925"/>
      <c r="Q74" s="925"/>
      <c r="R74" s="919">
        <v>116.36363636363636</v>
      </c>
      <c r="S74" s="919">
        <v>107.8125</v>
      </c>
    </row>
    <row r="75" spans="1:19" ht="29.25" customHeight="1">
      <c r="A75" s="918">
        <v>50</v>
      </c>
      <c r="B75" s="943" t="s">
        <v>972</v>
      </c>
      <c r="C75" s="952"/>
      <c r="D75" s="953"/>
      <c r="E75" s="931"/>
      <c r="F75" s="927"/>
      <c r="G75" s="931"/>
      <c r="H75" s="925"/>
      <c r="I75" s="925"/>
      <c r="J75" s="925"/>
      <c r="K75" s="925"/>
      <c r="L75" s="925"/>
      <c r="M75" s="925"/>
      <c r="N75" s="925"/>
      <c r="O75" s="925"/>
      <c r="P75" s="925"/>
      <c r="Q75" s="925"/>
      <c r="R75" s="919"/>
      <c r="S75" s="919"/>
    </row>
    <row r="76" spans="1:19" ht="14.25" customHeight="1">
      <c r="A76" s="1470"/>
      <c r="B76" s="951" t="s">
        <v>967</v>
      </c>
      <c r="C76" s="1473" t="s">
        <v>19</v>
      </c>
      <c r="D76" s="927">
        <v>100</v>
      </c>
      <c r="E76" s="927">
        <v>100</v>
      </c>
      <c r="F76" s="927">
        <v>100</v>
      </c>
      <c r="G76" s="927">
        <v>100</v>
      </c>
      <c r="H76" s="921"/>
      <c r="I76" s="921"/>
      <c r="J76" s="921"/>
      <c r="K76" s="921"/>
      <c r="L76" s="921"/>
      <c r="M76" s="921"/>
      <c r="N76" s="921"/>
      <c r="O76" s="921"/>
      <c r="P76" s="921"/>
      <c r="Q76" s="921"/>
      <c r="R76" s="919">
        <v>100</v>
      </c>
      <c r="S76" s="919">
        <v>100</v>
      </c>
    </row>
    <row r="77" spans="1:19" ht="14.25" customHeight="1">
      <c r="A77" s="1471"/>
      <c r="B77" s="951" t="s">
        <v>968</v>
      </c>
      <c r="C77" s="1474"/>
      <c r="D77" s="927">
        <v>100</v>
      </c>
      <c r="E77" s="927">
        <v>100</v>
      </c>
      <c r="F77" s="927">
        <v>100</v>
      </c>
      <c r="G77" s="927">
        <v>100</v>
      </c>
      <c r="H77" s="921"/>
      <c r="I77" s="921"/>
      <c r="J77" s="921"/>
      <c r="K77" s="921"/>
      <c r="L77" s="921"/>
      <c r="M77" s="921"/>
      <c r="N77" s="921"/>
      <c r="O77" s="921"/>
      <c r="P77" s="921"/>
      <c r="Q77" s="921"/>
      <c r="R77" s="919">
        <v>100</v>
      </c>
      <c r="S77" s="919">
        <v>100</v>
      </c>
    </row>
    <row r="78" spans="1:19" ht="14.25" customHeight="1">
      <c r="A78" s="1472"/>
      <c r="B78" s="951" t="s">
        <v>969</v>
      </c>
      <c r="C78" s="1475"/>
      <c r="D78" s="927">
        <v>52</v>
      </c>
      <c r="E78" s="927">
        <v>55</v>
      </c>
      <c r="F78" s="927">
        <v>80</v>
      </c>
      <c r="G78" s="927">
        <v>85</v>
      </c>
      <c r="H78" s="921"/>
      <c r="I78" s="921"/>
      <c r="J78" s="921"/>
      <c r="K78" s="921"/>
      <c r="L78" s="921"/>
      <c r="M78" s="921"/>
      <c r="N78" s="921"/>
      <c r="O78" s="921"/>
      <c r="P78" s="921"/>
      <c r="Q78" s="921"/>
      <c r="R78" s="919">
        <v>153.84615384615387</v>
      </c>
      <c r="S78" s="919">
        <v>106.25</v>
      </c>
    </row>
    <row r="79" spans="1:19" ht="14.25" customHeight="1">
      <c r="A79" s="918">
        <v>51</v>
      </c>
      <c r="B79" s="954" t="s">
        <v>987</v>
      </c>
      <c r="C79" s="954" t="s">
        <v>988</v>
      </c>
      <c r="D79" s="927">
        <v>1997</v>
      </c>
      <c r="E79" s="927">
        <v>1750</v>
      </c>
      <c r="F79" s="927">
        <v>2099</v>
      </c>
      <c r="G79" s="927">
        <v>2099</v>
      </c>
      <c r="H79" s="955"/>
      <c r="I79" s="955"/>
      <c r="J79" s="955"/>
      <c r="K79" s="955"/>
      <c r="L79" s="955"/>
      <c r="M79" s="955"/>
      <c r="N79" s="955"/>
      <c r="O79" s="955"/>
      <c r="P79" s="955"/>
      <c r="Q79" s="955"/>
      <c r="R79" s="919">
        <v>153.84615384615387</v>
      </c>
      <c r="S79" s="919">
        <v>106.25</v>
      </c>
    </row>
    <row r="80" spans="1:19" ht="30" customHeight="1">
      <c r="A80" s="918">
        <v>52</v>
      </c>
      <c r="B80" s="957" t="s">
        <v>989</v>
      </c>
      <c r="C80" s="958" t="s">
        <v>19</v>
      </c>
      <c r="D80" s="927">
        <v>100</v>
      </c>
      <c r="E80" s="927">
        <v>100</v>
      </c>
      <c r="F80" s="927">
        <v>100</v>
      </c>
      <c r="G80" s="927">
        <v>100</v>
      </c>
      <c r="H80" s="955"/>
      <c r="I80" s="955"/>
      <c r="J80" s="955"/>
      <c r="K80" s="955"/>
      <c r="L80" s="955"/>
      <c r="M80" s="955"/>
      <c r="N80" s="955"/>
      <c r="O80" s="955"/>
      <c r="P80" s="955"/>
      <c r="Q80" s="955"/>
      <c r="R80" s="919">
        <v>153.84615384615387</v>
      </c>
      <c r="S80" s="919">
        <v>106.25</v>
      </c>
    </row>
  </sheetData>
  <sheetProtection/>
  <mergeCells count="24">
    <mergeCell ref="A1:S1"/>
    <mergeCell ref="B2:S2"/>
    <mergeCell ref="A3:S3"/>
    <mergeCell ref="A5:A7"/>
    <mergeCell ref="B5:B7"/>
    <mergeCell ref="C5:C7"/>
    <mergeCell ref="D5:D7"/>
    <mergeCell ref="E5:F5"/>
    <mergeCell ref="G5:Q5"/>
    <mergeCell ref="R5:S5"/>
    <mergeCell ref="E6:E7"/>
    <mergeCell ref="F6:F7"/>
    <mergeCell ref="G6:G7"/>
    <mergeCell ref="H6:Q6"/>
    <mergeCell ref="R6:R7"/>
    <mergeCell ref="S6:S7"/>
    <mergeCell ref="A76:A78"/>
    <mergeCell ref="C76:C78"/>
    <mergeCell ref="A64:A65"/>
    <mergeCell ref="C64:C65"/>
    <mergeCell ref="A67:A69"/>
    <mergeCell ref="C67:C69"/>
    <mergeCell ref="A71:A73"/>
    <mergeCell ref="C71:C73"/>
  </mergeCells>
  <printOptions horizontalCentered="1"/>
  <pageMargins left="0.1968503937007874" right="0.1968503937007874" top="0.3937007874015748" bottom="0.35433070866141736" header="0.31496062992125984" footer="0.2755905511811024"/>
  <pageSetup horizontalDpi="600" verticalDpi="600" orientation="landscape" paperSize="9" scale="73" r:id="rId1"/>
  <colBreaks count="1" manualBreakCount="1">
    <brk id="19" max="65535" man="1"/>
  </colBreaks>
</worksheet>
</file>

<file path=xl/worksheets/sheet16.xml><?xml version="1.0" encoding="utf-8"?>
<worksheet xmlns="http://schemas.openxmlformats.org/spreadsheetml/2006/main" xmlns:r="http://schemas.openxmlformats.org/officeDocument/2006/relationships">
  <sheetPr>
    <tabColor rgb="FF0070C0"/>
    <pageSetUpPr fitToPage="1"/>
  </sheetPr>
  <dimension ref="A1:AQ412"/>
  <sheetViews>
    <sheetView zoomScale="55" zoomScaleNormal="55" zoomScalePageLayoutView="0" workbookViewId="0" topLeftCell="A1">
      <pane xSplit="2" ySplit="8" topLeftCell="C9" activePane="bottomRight" state="frozen"/>
      <selection pane="topLeft" activeCell="A1" sqref="A1"/>
      <selection pane="topRight" activeCell="A1" sqref="A1"/>
      <selection pane="bottomLeft" activeCell="A1" sqref="A1"/>
      <selection pane="bottomRight" activeCell="C21" sqref="C21"/>
    </sheetView>
  </sheetViews>
  <sheetFormatPr defaultColWidth="9.00390625" defaultRowHeight="15.75"/>
  <cols>
    <col min="1" max="1" width="4.50390625" style="67" customWidth="1"/>
    <col min="2" max="2" width="24.625" style="68" customWidth="1"/>
    <col min="3" max="5" width="7.625" style="69" customWidth="1"/>
    <col min="6" max="6" width="11.75390625" style="69" customWidth="1"/>
    <col min="7" max="10" width="7.625" style="70" customWidth="1"/>
    <col min="11" max="11" width="7.875" style="70" hidden="1" customWidth="1"/>
    <col min="12" max="13" width="8.125" style="70" hidden="1" customWidth="1"/>
    <col min="14" max="14" width="8.25390625" style="70" hidden="1" customWidth="1"/>
    <col min="15" max="15" width="7.625" style="70" hidden="1" customWidth="1"/>
    <col min="16" max="16" width="8.25390625" style="70" hidden="1" customWidth="1"/>
    <col min="17" max="17" width="8.75390625" style="70" hidden="1" customWidth="1"/>
    <col min="18" max="18" width="8.125" style="70" hidden="1" customWidth="1"/>
    <col min="19" max="22" width="7.625" style="70" customWidth="1"/>
    <col min="23" max="23" width="8.00390625" style="70" customWidth="1"/>
    <col min="24" max="24" width="9.00390625" style="70" customWidth="1"/>
    <col min="25" max="25" width="9.25390625" style="70" customWidth="1"/>
    <col min="26" max="26" width="8.625" style="70" customWidth="1"/>
    <col min="27" max="27" width="7.625" style="70" customWidth="1"/>
    <col min="28" max="28" width="8.25390625" style="70" customWidth="1"/>
    <col min="29" max="29" width="8.75390625" style="70" customWidth="1"/>
    <col min="30" max="30" width="8.125" style="70" customWidth="1"/>
    <col min="31" max="31" width="8.00390625" style="70" customWidth="1"/>
    <col min="32" max="32" width="9.00390625" style="70" customWidth="1"/>
    <col min="33" max="33" width="9.25390625" style="70" customWidth="1"/>
    <col min="34" max="34" width="8.625" style="70" customWidth="1"/>
    <col min="35" max="35" width="7.625" style="70" customWidth="1"/>
    <col min="36" max="36" width="8.25390625" style="70" customWidth="1"/>
    <col min="37" max="37" width="8.75390625" style="70" customWidth="1"/>
    <col min="38" max="38" width="8.125" style="70" customWidth="1"/>
    <col min="39" max="42" width="7.625" style="70" customWidth="1"/>
    <col min="43" max="43" width="7.00390625" style="70" customWidth="1"/>
    <col min="44" max="16384" width="9.00390625" style="71" customWidth="1"/>
  </cols>
  <sheetData>
    <row r="1" spans="1:43" s="60" customFormat="1" ht="32.25" customHeight="1">
      <c r="A1" s="72" t="s">
        <v>268</v>
      </c>
      <c r="B1"/>
      <c r="C1"/>
      <c r="D1"/>
      <c r="E1"/>
      <c r="F1"/>
      <c r="G1"/>
      <c r="H1"/>
      <c r="I1"/>
      <c r="J1"/>
      <c r="K1"/>
      <c r="L1"/>
      <c r="M1"/>
      <c r="N1"/>
      <c r="O1"/>
      <c r="P1"/>
      <c r="Q1"/>
      <c r="R1"/>
      <c r="S1"/>
      <c r="T1"/>
      <c r="U1"/>
      <c r="V1"/>
      <c r="W1"/>
      <c r="X1"/>
      <c r="Y1"/>
      <c r="Z1"/>
      <c r="AA1"/>
      <c r="AB1"/>
      <c r="AC1"/>
      <c r="AD1"/>
      <c r="AE1" s="57"/>
      <c r="AF1" s="58"/>
      <c r="AG1" s="58"/>
      <c r="AH1" s="58"/>
      <c r="AI1" s="58"/>
      <c r="AJ1" s="58"/>
      <c r="AK1" s="58"/>
      <c r="AL1" s="58"/>
      <c r="AM1" s="58"/>
      <c r="AN1" s="58"/>
      <c r="AO1" s="58"/>
      <c r="AP1" s="58"/>
      <c r="AQ1" s="57" t="s">
        <v>211</v>
      </c>
    </row>
    <row r="2" spans="1:43" ht="42" customHeight="1">
      <c r="A2" s="1512" t="s">
        <v>269</v>
      </c>
      <c r="B2" s="1512"/>
      <c r="C2" s="1512"/>
      <c r="D2" s="1512"/>
      <c r="E2" s="1512"/>
      <c r="F2" s="1512"/>
      <c r="G2" s="1512"/>
      <c r="H2" s="1512"/>
      <c r="I2" s="1512"/>
      <c r="J2" s="1512"/>
      <c r="K2" s="1512"/>
      <c r="L2" s="1512"/>
      <c r="M2" s="1512"/>
      <c r="N2" s="1512"/>
      <c r="O2" s="1512"/>
      <c r="P2" s="1512"/>
      <c r="Q2" s="1512"/>
      <c r="R2" s="1512"/>
      <c r="S2" s="1512"/>
      <c r="T2" s="1512"/>
      <c r="U2" s="1512"/>
      <c r="V2" s="1512"/>
      <c r="W2" s="1512"/>
      <c r="X2" s="1512"/>
      <c r="Y2" s="1512"/>
      <c r="Z2" s="1512"/>
      <c r="AA2" s="1512"/>
      <c r="AB2" s="1512"/>
      <c r="AC2" s="1512"/>
      <c r="AD2" s="1512"/>
      <c r="AE2" s="1512"/>
      <c r="AF2" s="1512"/>
      <c r="AG2" s="1512"/>
      <c r="AH2" s="1512"/>
      <c r="AI2" s="1512"/>
      <c r="AJ2" s="1512"/>
      <c r="AK2" s="1512"/>
      <c r="AL2" s="1512"/>
      <c r="AM2" s="1512"/>
      <c r="AN2" s="1512"/>
      <c r="AO2" s="1512"/>
      <c r="AP2" s="1512"/>
      <c r="AQ2" s="1512"/>
    </row>
    <row r="3" spans="1:43" s="61" customFormat="1" ht="35.25" customHeight="1">
      <c r="A3" s="1513" t="s">
        <v>270</v>
      </c>
      <c r="B3" s="1513"/>
      <c r="C3" s="1513"/>
      <c r="D3" s="1513"/>
      <c r="E3" s="1513"/>
      <c r="F3" s="1513"/>
      <c r="G3" s="1513"/>
      <c r="H3" s="1513"/>
      <c r="I3" s="1513"/>
      <c r="J3" s="1513"/>
      <c r="K3" s="1513"/>
      <c r="L3" s="1513"/>
      <c r="M3" s="1513"/>
      <c r="N3" s="1513"/>
      <c r="O3" s="1513"/>
      <c r="P3" s="1513"/>
      <c r="Q3" s="1513"/>
      <c r="R3" s="1513"/>
      <c r="S3" s="1513"/>
      <c r="T3" s="1513"/>
      <c r="U3" s="1513"/>
      <c r="V3" s="1513"/>
      <c r="W3" s="1513"/>
      <c r="X3" s="1513"/>
      <c r="Y3" s="1513"/>
      <c r="Z3" s="1513"/>
      <c r="AA3" s="1513"/>
      <c r="AB3" s="1513"/>
      <c r="AC3" s="1513"/>
      <c r="AD3" s="1513"/>
      <c r="AE3" s="1513"/>
      <c r="AF3" s="1513"/>
      <c r="AG3" s="1513"/>
      <c r="AH3" s="1513"/>
      <c r="AI3" s="1513"/>
      <c r="AJ3" s="1513"/>
      <c r="AK3" s="1513"/>
      <c r="AL3" s="1513"/>
      <c r="AM3" s="1513"/>
      <c r="AN3" s="1513"/>
      <c r="AO3" s="1513"/>
      <c r="AP3" s="1513"/>
      <c r="AQ3" s="1513"/>
    </row>
    <row r="4" spans="1:43" s="62" customFormat="1" ht="43.5" customHeight="1">
      <c r="A4" s="1503" t="s">
        <v>2</v>
      </c>
      <c r="B4" s="1503" t="s">
        <v>271</v>
      </c>
      <c r="C4" s="1503" t="s">
        <v>272</v>
      </c>
      <c r="D4" s="1503" t="s">
        <v>273</v>
      </c>
      <c r="E4" s="1503" t="s">
        <v>274</v>
      </c>
      <c r="F4" s="1510" t="s">
        <v>275</v>
      </c>
      <c r="G4" s="1510"/>
      <c r="H4" s="1510"/>
      <c r="I4" s="1510"/>
      <c r="J4" s="1510"/>
      <c r="K4" s="1500" t="s">
        <v>276</v>
      </c>
      <c r="L4" s="1500"/>
      <c r="M4" s="1500"/>
      <c r="N4" s="1500"/>
      <c r="O4" s="1500" t="s">
        <v>277</v>
      </c>
      <c r="P4" s="1500"/>
      <c r="Q4" s="1500"/>
      <c r="R4" s="1500"/>
      <c r="S4" s="1507" t="s">
        <v>278</v>
      </c>
      <c r="T4" s="1508"/>
      <c r="U4" s="1508"/>
      <c r="V4" s="1509"/>
      <c r="W4" s="1507" t="s">
        <v>279</v>
      </c>
      <c r="X4" s="1508"/>
      <c r="Y4" s="1508"/>
      <c r="Z4" s="1509"/>
      <c r="AA4" s="1507" t="s">
        <v>280</v>
      </c>
      <c r="AB4" s="1508"/>
      <c r="AC4" s="1508"/>
      <c r="AD4" s="1509"/>
      <c r="AE4" s="1507" t="s">
        <v>281</v>
      </c>
      <c r="AF4" s="1508"/>
      <c r="AG4" s="1508"/>
      <c r="AH4" s="1509"/>
      <c r="AI4" s="1507" t="s">
        <v>282</v>
      </c>
      <c r="AJ4" s="1508"/>
      <c r="AK4" s="1508"/>
      <c r="AL4" s="1509"/>
      <c r="AM4" s="1507" t="s">
        <v>283</v>
      </c>
      <c r="AN4" s="1508"/>
      <c r="AO4" s="1508"/>
      <c r="AP4" s="1509"/>
      <c r="AQ4" s="1514" t="s">
        <v>284</v>
      </c>
    </row>
    <row r="5" spans="1:43" s="62" customFormat="1" ht="43.5" customHeight="1">
      <c r="A5" s="1504"/>
      <c r="B5" s="1504"/>
      <c r="C5" s="1504"/>
      <c r="D5" s="1504"/>
      <c r="E5" s="1504"/>
      <c r="F5" s="1510" t="s">
        <v>285</v>
      </c>
      <c r="G5" s="1510" t="s">
        <v>286</v>
      </c>
      <c r="H5" s="1510"/>
      <c r="I5" s="1510"/>
      <c r="J5" s="1510"/>
      <c r="K5" s="1500" t="s">
        <v>287</v>
      </c>
      <c r="L5" s="1500" t="s">
        <v>288</v>
      </c>
      <c r="M5" s="1500"/>
      <c r="N5" s="1500"/>
      <c r="O5" s="1500" t="s">
        <v>287</v>
      </c>
      <c r="P5" s="1500" t="s">
        <v>288</v>
      </c>
      <c r="Q5" s="1500"/>
      <c r="R5" s="1500"/>
      <c r="S5" s="1500" t="s">
        <v>287</v>
      </c>
      <c r="T5" s="1500" t="s">
        <v>289</v>
      </c>
      <c r="U5" s="1500"/>
      <c r="V5" s="1500"/>
      <c r="W5" s="1500" t="s">
        <v>287</v>
      </c>
      <c r="X5" s="1500" t="s">
        <v>288</v>
      </c>
      <c r="Y5" s="1500"/>
      <c r="Z5" s="1500"/>
      <c r="AA5" s="1500" t="s">
        <v>287</v>
      </c>
      <c r="AB5" s="1500" t="s">
        <v>288</v>
      </c>
      <c r="AC5" s="1500"/>
      <c r="AD5" s="1500"/>
      <c r="AE5" s="1500" t="s">
        <v>287</v>
      </c>
      <c r="AF5" s="1500" t="s">
        <v>288</v>
      </c>
      <c r="AG5" s="1500"/>
      <c r="AH5" s="1500"/>
      <c r="AI5" s="1500" t="s">
        <v>287</v>
      </c>
      <c r="AJ5" s="1500" t="s">
        <v>288</v>
      </c>
      <c r="AK5" s="1500"/>
      <c r="AL5" s="1500"/>
      <c r="AM5" s="1500" t="s">
        <v>287</v>
      </c>
      <c r="AN5" s="1500" t="s">
        <v>289</v>
      </c>
      <c r="AO5" s="1500"/>
      <c r="AP5" s="1500"/>
      <c r="AQ5" s="1505"/>
    </row>
    <row r="6" spans="1:43" s="62" customFormat="1" ht="43.5" customHeight="1">
      <c r="A6" s="1505"/>
      <c r="B6" s="1505"/>
      <c r="C6" s="1505"/>
      <c r="D6" s="1505"/>
      <c r="E6" s="1505"/>
      <c r="F6" s="1500"/>
      <c r="G6" s="1500" t="s">
        <v>287</v>
      </c>
      <c r="H6" s="1500" t="s">
        <v>290</v>
      </c>
      <c r="I6" s="1502"/>
      <c r="J6" s="1502"/>
      <c r="K6" s="1500"/>
      <c r="L6" s="1500" t="s">
        <v>287</v>
      </c>
      <c r="M6" s="1500" t="s">
        <v>291</v>
      </c>
      <c r="N6" s="1500" t="s">
        <v>292</v>
      </c>
      <c r="O6" s="1500"/>
      <c r="P6" s="1500" t="s">
        <v>287</v>
      </c>
      <c r="Q6" s="1500" t="s">
        <v>291</v>
      </c>
      <c r="R6" s="1500" t="s">
        <v>292</v>
      </c>
      <c r="S6" s="1500"/>
      <c r="T6" s="1500" t="s">
        <v>287</v>
      </c>
      <c r="U6" s="1500" t="s">
        <v>291</v>
      </c>
      <c r="V6" s="1500" t="s">
        <v>292</v>
      </c>
      <c r="W6" s="1500"/>
      <c r="X6" s="1500" t="s">
        <v>287</v>
      </c>
      <c r="Y6" s="1500" t="s">
        <v>291</v>
      </c>
      <c r="Z6" s="1500" t="s">
        <v>292</v>
      </c>
      <c r="AA6" s="1500"/>
      <c r="AB6" s="1500" t="s">
        <v>287</v>
      </c>
      <c r="AC6" s="1500" t="s">
        <v>291</v>
      </c>
      <c r="AD6" s="1500" t="s">
        <v>292</v>
      </c>
      <c r="AE6" s="1500"/>
      <c r="AF6" s="1500" t="s">
        <v>287</v>
      </c>
      <c r="AG6" s="1500" t="s">
        <v>291</v>
      </c>
      <c r="AH6" s="1500" t="s">
        <v>292</v>
      </c>
      <c r="AI6" s="1500"/>
      <c r="AJ6" s="1500" t="s">
        <v>287</v>
      </c>
      <c r="AK6" s="1500" t="s">
        <v>291</v>
      </c>
      <c r="AL6" s="1500" t="s">
        <v>292</v>
      </c>
      <c r="AM6" s="1500"/>
      <c r="AN6" s="1500" t="s">
        <v>287</v>
      </c>
      <c r="AO6" s="1500" t="s">
        <v>291</v>
      </c>
      <c r="AP6" s="1500" t="s">
        <v>292</v>
      </c>
      <c r="AQ6" s="1505"/>
    </row>
    <row r="7" spans="1:43" s="62" customFormat="1" ht="60" customHeight="1">
      <c r="A7" s="1506"/>
      <c r="B7" s="1506"/>
      <c r="C7" s="1506"/>
      <c r="D7" s="1506"/>
      <c r="E7" s="1506"/>
      <c r="F7" s="1500"/>
      <c r="G7" s="1502"/>
      <c r="H7" s="8" t="s">
        <v>287</v>
      </c>
      <c r="I7" s="8" t="s">
        <v>291</v>
      </c>
      <c r="J7" s="8" t="s">
        <v>292</v>
      </c>
      <c r="K7" s="1500"/>
      <c r="L7" s="1500"/>
      <c r="M7" s="1500"/>
      <c r="N7" s="1500"/>
      <c r="O7" s="1500"/>
      <c r="P7" s="1500"/>
      <c r="Q7" s="1500"/>
      <c r="R7" s="1500"/>
      <c r="S7" s="1500"/>
      <c r="T7" s="1500"/>
      <c r="U7" s="1500"/>
      <c r="V7" s="1500"/>
      <c r="W7" s="1500"/>
      <c r="X7" s="1500"/>
      <c r="Y7" s="1500"/>
      <c r="Z7" s="1500"/>
      <c r="AA7" s="1500"/>
      <c r="AB7" s="1500"/>
      <c r="AC7" s="1500"/>
      <c r="AD7" s="1500"/>
      <c r="AE7" s="1500"/>
      <c r="AF7" s="1500"/>
      <c r="AG7" s="1500"/>
      <c r="AH7" s="1500"/>
      <c r="AI7" s="1500"/>
      <c r="AJ7" s="1500"/>
      <c r="AK7" s="1500"/>
      <c r="AL7" s="1500"/>
      <c r="AM7" s="1500"/>
      <c r="AN7" s="1500"/>
      <c r="AO7" s="1500"/>
      <c r="AP7" s="1500"/>
      <c r="AQ7" s="1506"/>
    </row>
    <row r="8" spans="1:43" s="63" customFormat="1" ht="30.75" customHeight="1">
      <c r="A8" s="8">
        <v>1</v>
      </c>
      <c r="B8" s="8">
        <v>2</v>
      </c>
      <c r="C8" s="8">
        <v>3</v>
      </c>
      <c r="D8" s="8">
        <v>4</v>
      </c>
      <c r="E8" s="8">
        <v>5</v>
      </c>
      <c r="F8" s="8">
        <v>6</v>
      </c>
      <c r="G8" s="8">
        <v>7</v>
      </c>
      <c r="H8" s="8">
        <v>8</v>
      </c>
      <c r="I8" s="8">
        <v>9</v>
      </c>
      <c r="J8" s="8">
        <v>10</v>
      </c>
      <c r="K8" s="8">
        <v>11</v>
      </c>
      <c r="L8" s="8">
        <v>12</v>
      </c>
      <c r="M8" s="8">
        <v>13</v>
      </c>
      <c r="N8" s="8">
        <v>14</v>
      </c>
      <c r="O8" s="8">
        <v>15</v>
      </c>
      <c r="P8" s="8">
        <v>16</v>
      </c>
      <c r="Q8" s="8">
        <v>17</v>
      </c>
      <c r="R8" s="8">
        <v>18</v>
      </c>
      <c r="S8" s="8">
        <v>11</v>
      </c>
      <c r="T8" s="8">
        <v>12</v>
      </c>
      <c r="U8" s="8">
        <v>13</v>
      </c>
      <c r="V8" s="8">
        <v>14</v>
      </c>
      <c r="W8" s="8">
        <v>15</v>
      </c>
      <c r="X8" s="8">
        <v>16</v>
      </c>
      <c r="Y8" s="8">
        <v>17</v>
      </c>
      <c r="Z8" s="8">
        <v>18</v>
      </c>
      <c r="AA8" s="8">
        <v>19</v>
      </c>
      <c r="AB8" s="8">
        <v>20</v>
      </c>
      <c r="AC8" s="8">
        <v>21</v>
      </c>
      <c r="AD8" s="8">
        <v>22</v>
      </c>
      <c r="AE8" s="8">
        <v>23</v>
      </c>
      <c r="AF8" s="8">
        <v>24</v>
      </c>
      <c r="AG8" s="8">
        <v>25</v>
      </c>
      <c r="AH8" s="8">
        <v>26</v>
      </c>
      <c r="AI8" s="8">
        <v>27</v>
      </c>
      <c r="AJ8" s="8">
        <v>28</v>
      </c>
      <c r="AK8" s="8">
        <v>29</v>
      </c>
      <c r="AL8" s="8">
        <v>30</v>
      </c>
      <c r="AM8" s="8">
        <v>31</v>
      </c>
      <c r="AN8" s="8">
        <v>32</v>
      </c>
      <c r="AO8" s="8">
        <v>33</v>
      </c>
      <c r="AP8" s="8">
        <v>34</v>
      </c>
      <c r="AQ8" s="8">
        <v>35</v>
      </c>
    </row>
    <row r="9" spans="1:43" ht="51.75" customHeight="1">
      <c r="A9" s="73"/>
      <c r="B9" s="74" t="s">
        <v>293</v>
      </c>
      <c r="C9" s="75"/>
      <c r="D9" s="75"/>
      <c r="E9" s="75"/>
      <c r="F9" s="75"/>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row>
    <row r="10" spans="1:43" s="64" customFormat="1" ht="48" customHeight="1">
      <c r="A10" s="77" t="s">
        <v>104</v>
      </c>
      <c r="B10" s="78" t="s">
        <v>294</v>
      </c>
      <c r="C10" s="79"/>
      <c r="D10" s="79"/>
      <c r="E10" s="79"/>
      <c r="F10" s="79"/>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row>
    <row r="11" spans="1:43" ht="30" customHeight="1">
      <c r="A11" s="81">
        <v>1</v>
      </c>
      <c r="B11" s="82" t="s">
        <v>295</v>
      </c>
      <c r="C11" s="83"/>
      <c r="D11" s="83"/>
      <c r="E11" s="83"/>
      <c r="F11" s="83"/>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row>
    <row r="12" spans="1:43" ht="30" customHeight="1">
      <c r="A12" s="81">
        <v>2</v>
      </c>
      <c r="B12" s="82" t="s">
        <v>295</v>
      </c>
      <c r="C12" s="83"/>
      <c r="D12" s="83"/>
      <c r="E12" s="83"/>
      <c r="F12" s="83"/>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row>
    <row r="13" spans="1:43" ht="30" customHeight="1">
      <c r="A13" s="81"/>
      <c r="B13" s="115" t="s">
        <v>296</v>
      </c>
      <c r="C13" s="83"/>
      <c r="D13" s="83"/>
      <c r="E13" s="83"/>
      <c r="F13" s="83"/>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4"/>
      <c r="AI13" s="84"/>
      <c r="AJ13" s="84"/>
      <c r="AK13" s="84"/>
      <c r="AL13" s="84"/>
      <c r="AM13" s="84"/>
      <c r="AN13" s="84"/>
      <c r="AO13" s="84"/>
      <c r="AP13" s="84"/>
      <c r="AQ13" s="84"/>
    </row>
    <row r="14" spans="1:43" s="64" customFormat="1" ht="42" customHeight="1">
      <c r="A14" s="77" t="s">
        <v>114</v>
      </c>
      <c r="B14" s="78" t="s">
        <v>294</v>
      </c>
      <c r="C14" s="79"/>
      <c r="D14" s="79"/>
      <c r="E14" s="79"/>
      <c r="F14" s="79"/>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row>
    <row r="15" spans="1:43" s="64" customFormat="1" ht="30" customHeight="1">
      <c r="A15" s="81">
        <v>1</v>
      </c>
      <c r="B15" s="82" t="s">
        <v>295</v>
      </c>
      <c r="C15" s="79"/>
      <c r="D15" s="79"/>
      <c r="E15" s="79"/>
      <c r="F15" s="79"/>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row>
    <row r="16" spans="1:43" s="64" customFormat="1" ht="31.5" customHeight="1">
      <c r="A16" s="81">
        <v>2</v>
      </c>
      <c r="B16" s="82" t="s">
        <v>297</v>
      </c>
      <c r="C16" s="79"/>
      <c r="D16" s="79"/>
      <c r="E16" s="79"/>
      <c r="F16" s="79"/>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row>
    <row r="17" spans="1:43" s="64" customFormat="1" ht="27" customHeight="1" hidden="1">
      <c r="A17" s="81"/>
      <c r="B17" s="115" t="s">
        <v>296</v>
      </c>
      <c r="C17" s="79"/>
      <c r="D17" s="79"/>
      <c r="E17" s="79"/>
      <c r="F17" s="79"/>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row>
    <row r="18" spans="1:43" s="65" customFormat="1" ht="19.5" hidden="1">
      <c r="A18" s="85" t="s">
        <v>114</v>
      </c>
      <c r="B18" s="86" t="s">
        <v>298</v>
      </c>
      <c r="C18" s="87"/>
      <c r="D18" s="87"/>
      <c r="E18" s="87"/>
      <c r="F18" s="87"/>
      <c r="G18" s="88"/>
      <c r="H18" s="88"/>
      <c r="I18" s="88"/>
      <c r="J18" s="88"/>
      <c r="K18" s="88"/>
      <c r="L18" s="88"/>
      <c r="M18" s="88"/>
      <c r="N18" s="88"/>
      <c r="O18" s="88"/>
      <c r="P18" s="88"/>
      <c r="Q18" s="88"/>
      <c r="R18" s="88"/>
      <c r="S18" s="88"/>
      <c r="T18" s="88"/>
      <c r="U18" s="88"/>
      <c r="V18" s="88"/>
      <c r="W18" s="88"/>
      <c r="X18" s="88"/>
      <c r="Y18" s="88"/>
      <c r="Z18" s="88"/>
      <c r="AA18" s="88"/>
      <c r="AB18" s="88"/>
      <c r="AC18" s="88"/>
      <c r="AD18" s="88"/>
      <c r="AE18" s="88"/>
      <c r="AF18" s="88"/>
      <c r="AG18" s="88"/>
      <c r="AH18" s="88"/>
      <c r="AI18" s="88"/>
      <c r="AJ18" s="88"/>
      <c r="AK18" s="88"/>
      <c r="AL18" s="88"/>
      <c r="AM18" s="88"/>
      <c r="AN18" s="88"/>
      <c r="AO18" s="88"/>
      <c r="AP18" s="88"/>
      <c r="AQ18" s="88"/>
    </row>
    <row r="19" spans="1:43" s="65" customFormat="1" ht="42" customHeight="1" hidden="1">
      <c r="A19" s="85"/>
      <c r="B19" s="86" t="s">
        <v>294</v>
      </c>
      <c r="C19" s="87"/>
      <c r="D19" s="87"/>
      <c r="E19" s="87"/>
      <c r="F19" s="87"/>
      <c r="G19" s="88"/>
      <c r="H19" s="88"/>
      <c r="I19" s="88"/>
      <c r="J19" s="88"/>
      <c r="K19" s="88"/>
      <c r="L19" s="88"/>
      <c r="M19" s="88"/>
      <c r="N19" s="88"/>
      <c r="O19" s="88"/>
      <c r="P19" s="88"/>
      <c r="Q19" s="88"/>
      <c r="R19" s="88"/>
      <c r="S19" s="88"/>
      <c r="T19" s="88"/>
      <c r="U19" s="88"/>
      <c r="V19" s="88"/>
      <c r="W19" s="88"/>
      <c r="X19" s="88"/>
      <c r="Y19" s="88"/>
      <c r="Z19" s="88"/>
      <c r="AA19" s="88"/>
      <c r="AB19" s="88"/>
      <c r="AC19" s="88"/>
      <c r="AD19" s="88"/>
      <c r="AE19" s="88"/>
      <c r="AF19" s="88"/>
      <c r="AG19" s="88"/>
      <c r="AH19" s="88"/>
      <c r="AI19" s="88"/>
      <c r="AJ19" s="88"/>
      <c r="AK19" s="88"/>
      <c r="AL19" s="88"/>
      <c r="AM19" s="88"/>
      <c r="AN19" s="88"/>
      <c r="AO19" s="88"/>
      <c r="AP19" s="88"/>
      <c r="AQ19" s="88"/>
    </row>
    <row r="20" spans="1:43" s="65" customFormat="1" ht="42" customHeight="1" hidden="1">
      <c r="A20" s="85"/>
      <c r="B20" s="86" t="s">
        <v>299</v>
      </c>
      <c r="C20" s="87"/>
      <c r="D20" s="87"/>
      <c r="E20" s="87"/>
      <c r="F20" s="87"/>
      <c r="G20" s="88"/>
      <c r="H20" s="88"/>
      <c r="I20" s="88"/>
      <c r="J20" s="88"/>
      <c r="K20" s="88"/>
      <c r="L20" s="88"/>
      <c r="M20" s="88"/>
      <c r="N20" s="88"/>
      <c r="O20" s="88"/>
      <c r="P20" s="88"/>
      <c r="Q20" s="88"/>
      <c r="R20" s="88"/>
      <c r="S20" s="88"/>
      <c r="T20" s="88"/>
      <c r="U20" s="88"/>
      <c r="V20" s="88"/>
      <c r="W20" s="88"/>
      <c r="X20" s="88"/>
      <c r="Y20" s="88"/>
      <c r="Z20" s="88"/>
      <c r="AA20" s="88"/>
      <c r="AB20" s="88"/>
      <c r="AC20" s="88"/>
      <c r="AD20" s="88"/>
      <c r="AE20" s="88"/>
      <c r="AF20" s="88"/>
      <c r="AG20" s="88"/>
      <c r="AH20" s="88"/>
      <c r="AI20" s="88"/>
      <c r="AJ20" s="88"/>
      <c r="AK20" s="88"/>
      <c r="AL20" s="88"/>
      <c r="AM20" s="88"/>
      <c r="AN20" s="88"/>
      <c r="AO20" s="88"/>
      <c r="AP20" s="88"/>
      <c r="AQ20" s="88"/>
    </row>
    <row r="21" spans="1:43" s="64" customFormat="1" ht="39.75" customHeight="1" hidden="1">
      <c r="A21" s="81">
        <v>1</v>
      </c>
      <c r="B21" s="82" t="s">
        <v>295</v>
      </c>
      <c r="C21" s="79"/>
      <c r="D21" s="79"/>
      <c r="E21" s="79"/>
      <c r="F21" s="79"/>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c r="AL21" s="80"/>
      <c r="AM21" s="80"/>
      <c r="AN21" s="80"/>
      <c r="AO21" s="80"/>
      <c r="AP21" s="80"/>
      <c r="AQ21" s="80"/>
    </row>
    <row r="22" spans="1:43" s="64" customFormat="1" ht="36.75" customHeight="1" hidden="1">
      <c r="A22" s="81">
        <v>2</v>
      </c>
      <c r="B22" s="82" t="s">
        <v>297</v>
      </c>
      <c r="C22" s="79"/>
      <c r="D22" s="79"/>
      <c r="E22" s="79"/>
      <c r="F22" s="79"/>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c r="AL22" s="80"/>
      <c r="AM22" s="80"/>
      <c r="AN22" s="80"/>
      <c r="AO22" s="80"/>
      <c r="AP22" s="80"/>
      <c r="AQ22" s="80"/>
    </row>
    <row r="23" spans="1:43" s="65" customFormat="1" ht="24.75" customHeight="1" hidden="1">
      <c r="A23" s="85"/>
      <c r="B23" s="86" t="s">
        <v>300</v>
      </c>
      <c r="C23" s="87"/>
      <c r="D23" s="87"/>
      <c r="E23" s="87"/>
      <c r="F23" s="87"/>
      <c r="G23" s="88"/>
      <c r="H23" s="88"/>
      <c r="I23" s="88"/>
      <c r="J23" s="88"/>
      <c r="K23" s="88"/>
      <c r="L23" s="88"/>
      <c r="M23" s="88"/>
      <c r="N23" s="88"/>
      <c r="O23" s="88"/>
      <c r="P23" s="88"/>
      <c r="Q23" s="88"/>
      <c r="R23" s="88"/>
      <c r="S23" s="88"/>
      <c r="T23" s="88"/>
      <c r="U23" s="88"/>
      <c r="V23" s="88"/>
      <c r="W23" s="88"/>
      <c r="X23" s="88"/>
      <c r="Y23" s="88"/>
      <c r="Z23" s="88"/>
      <c r="AA23" s="88"/>
      <c r="AB23" s="88"/>
      <c r="AC23" s="88"/>
      <c r="AD23" s="88"/>
      <c r="AE23" s="88"/>
      <c r="AF23" s="88"/>
      <c r="AG23" s="88"/>
      <c r="AH23" s="88"/>
      <c r="AI23" s="88"/>
      <c r="AJ23" s="88"/>
      <c r="AK23" s="88"/>
      <c r="AL23" s="88"/>
      <c r="AM23" s="88"/>
      <c r="AN23" s="88"/>
      <c r="AO23" s="88"/>
      <c r="AP23" s="88"/>
      <c r="AQ23" s="88"/>
    </row>
    <row r="24" spans="1:43" ht="24.75" customHeight="1" hidden="1">
      <c r="A24" s="81">
        <v>1</v>
      </c>
      <c r="B24" s="82" t="s">
        <v>295</v>
      </c>
      <c r="C24" s="83"/>
      <c r="D24" s="83"/>
      <c r="E24" s="83"/>
      <c r="F24" s="83"/>
      <c r="G24" s="84"/>
      <c r="H24" s="84"/>
      <c r="I24" s="84"/>
      <c r="J24" s="84"/>
      <c r="K24" s="84"/>
      <c r="L24" s="84"/>
      <c r="M24" s="84"/>
      <c r="N24" s="84"/>
      <c r="O24" s="84"/>
      <c r="P24" s="84"/>
      <c r="Q24" s="84"/>
      <c r="R24" s="84"/>
      <c r="S24" s="84"/>
      <c r="T24" s="84"/>
      <c r="U24" s="84"/>
      <c r="V24" s="84"/>
      <c r="W24" s="84"/>
      <c r="X24" s="84"/>
      <c r="Y24" s="84"/>
      <c r="Z24" s="84"/>
      <c r="AA24" s="84"/>
      <c r="AB24" s="84"/>
      <c r="AC24" s="84"/>
      <c r="AD24" s="84"/>
      <c r="AE24" s="84"/>
      <c r="AF24" s="84"/>
      <c r="AG24" s="84"/>
      <c r="AH24" s="84"/>
      <c r="AI24" s="84"/>
      <c r="AJ24" s="84"/>
      <c r="AK24" s="84"/>
      <c r="AL24" s="84"/>
      <c r="AM24" s="84"/>
      <c r="AN24" s="84"/>
      <c r="AO24" s="84"/>
      <c r="AP24" s="84"/>
      <c r="AQ24" s="84"/>
    </row>
    <row r="25" spans="1:43" ht="24.75" customHeight="1" hidden="1">
      <c r="A25" s="81">
        <v>2</v>
      </c>
      <c r="B25" s="82" t="s">
        <v>301</v>
      </c>
      <c r="C25" s="83"/>
      <c r="D25" s="83"/>
      <c r="E25" s="83"/>
      <c r="F25" s="83"/>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row>
    <row r="26" spans="1:43" ht="30" customHeight="1">
      <c r="A26" s="81"/>
      <c r="B26" s="115" t="s">
        <v>296</v>
      </c>
      <c r="C26" s="83"/>
      <c r="D26" s="83"/>
      <c r="E26" s="83"/>
      <c r="F26" s="83"/>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row>
    <row r="27" spans="1:43" ht="0.75" customHeight="1">
      <c r="A27" s="89"/>
      <c r="B27" s="90"/>
      <c r="C27" s="91"/>
      <c r="D27" s="91"/>
      <c r="E27" s="91"/>
      <c r="F27" s="91"/>
      <c r="G27" s="92"/>
      <c r="H27" s="92"/>
      <c r="I27" s="92"/>
      <c r="J27" s="92"/>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row>
    <row r="28" ht="0.75" customHeight="1"/>
    <row r="29" ht="0.75" customHeight="1"/>
    <row r="30" ht="0.75" customHeight="1"/>
    <row r="31" ht="0.75" customHeight="1"/>
    <row r="32" ht="0.75" customHeight="1"/>
    <row r="33" ht="0.75" customHeight="1"/>
    <row r="34" ht="0.75" customHeight="1"/>
    <row r="35" ht="0.75" customHeight="1"/>
    <row r="36" ht="0.75" customHeight="1"/>
    <row r="37" ht="0.75" customHeight="1"/>
    <row r="38" ht="0.75" customHeight="1"/>
    <row r="39" ht="0.75" customHeight="1"/>
    <row r="40" spans="1:42" s="66" customFormat="1" ht="30.75" customHeight="1">
      <c r="A40" s="93"/>
      <c r="B40" s="1511" t="s">
        <v>302</v>
      </c>
      <c r="C40" s="1511"/>
      <c r="D40" s="1511"/>
      <c r="E40" s="1511"/>
      <c r="F40" s="1511"/>
      <c r="G40" s="1511"/>
      <c r="H40" s="1511"/>
      <c r="I40" s="1511"/>
      <c r="J40" s="1511"/>
      <c r="K40" s="1511"/>
      <c r="L40" s="1511"/>
      <c r="M40" s="1511"/>
      <c r="N40" s="1511"/>
      <c r="O40" s="1511"/>
      <c r="P40" s="1511"/>
      <c r="Q40" s="1511"/>
      <c r="R40" s="1511"/>
      <c r="S40" s="1511"/>
      <c r="T40" s="1511"/>
      <c r="U40" s="1511"/>
      <c r="V40" s="1511"/>
      <c r="W40" s="94"/>
      <c r="X40" s="94"/>
      <c r="Y40" s="94"/>
      <c r="Z40" s="94"/>
      <c r="AA40" s="94"/>
      <c r="AB40" s="94"/>
      <c r="AC40" s="94"/>
      <c r="AD40" s="94"/>
      <c r="AE40" s="94"/>
      <c r="AF40" s="94"/>
      <c r="AG40" s="94"/>
      <c r="AH40" s="94"/>
      <c r="AI40" s="94"/>
      <c r="AJ40" s="94"/>
      <c r="AK40" s="94"/>
      <c r="AL40" s="94"/>
      <c r="AM40" s="94"/>
      <c r="AN40" s="94"/>
      <c r="AO40" s="94"/>
      <c r="AP40" s="94"/>
    </row>
    <row r="41" spans="1:43" s="66" customFormat="1" ht="30.75" customHeight="1">
      <c r="A41" s="93"/>
      <c r="B41" s="1499" t="s">
        <v>303</v>
      </c>
      <c r="C41" s="1499"/>
      <c r="D41" s="1499"/>
      <c r="E41" s="1499"/>
      <c r="F41" s="1499"/>
      <c r="G41" s="1499"/>
      <c r="H41" s="1499"/>
      <c r="I41" s="1499"/>
      <c r="J41" s="1499"/>
      <c r="K41" s="1499"/>
      <c r="L41" s="1499"/>
      <c r="M41" s="1499"/>
      <c r="N41" s="1499"/>
      <c r="O41" s="1499"/>
      <c r="P41" s="1499"/>
      <c r="Q41" s="1499"/>
      <c r="R41" s="1499"/>
      <c r="S41" s="1499"/>
      <c r="T41" s="1499"/>
      <c r="U41" s="1499"/>
      <c r="V41" s="1499"/>
      <c r="W41" s="1499"/>
      <c r="X41" s="1499"/>
      <c r="Y41" s="1499"/>
      <c r="Z41" s="1499"/>
      <c r="AA41" s="1499"/>
      <c r="AB41" s="1499"/>
      <c r="AC41" s="1499"/>
      <c r="AD41" s="1499"/>
      <c r="AE41" s="1499"/>
      <c r="AF41" s="1499"/>
      <c r="AG41" s="1499"/>
      <c r="AH41" s="1499"/>
      <c r="AI41" s="1499"/>
      <c r="AJ41" s="1499"/>
      <c r="AK41" s="1499"/>
      <c r="AL41" s="1499"/>
      <c r="AM41" s="1499"/>
      <c r="AN41" s="1499"/>
      <c r="AO41" s="1499"/>
      <c r="AP41" s="1499"/>
      <c r="AQ41" s="1499"/>
    </row>
    <row r="42" spans="1:43" s="66" customFormat="1" ht="30.75" customHeight="1">
      <c r="A42" s="93"/>
      <c r="B42" s="1499" t="s">
        <v>304</v>
      </c>
      <c r="C42" s="1499"/>
      <c r="D42" s="1499"/>
      <c r="E42" s="1499"/>
      <c r="F42" s="1499"/>
      <c r="G42" s="1499"/>
      <c r="H42" s="1499"/>
      <c r="I42" s="1499"/>
      <c r="J42" s="1499"/>
      <c r="K42" s="1499"/>
      <c r="L42" s="1499"/>
      <c r="M42" s="1499"/>
      <c r="N42" s="1499"/>
      <c r="O42" s="1499"/>
      <c r="P42" s="1499"/>
      <c r="Q42" s="1499"/>
      <c r="R42" s="1499"/>
      <c r="S42" s="1499"/>
      <c r="T42" s="1499"/>
      <c r="U42" s="1499"/>
      <c r="V42" s="1499"/>
      <c r="W42" s="1499"/>
      <c r="X42" s="1499"/>
      <c r="Y42" s="1499"/>
      <c r="Z42" s="1499"/>
      <c r="AA42" s="1499"/>
      <c r="AB42" s="1499"/>
      <c r="AC42" s="1499"/>
      <c r="AD42" s="1499"/>
      <c r="AE42" s="1499"/>
      <c r="AF42" s="1499"/>
      <c r="AG42" s="1499"/>
      <c r="AH42" s="1499"/>
      <c r="AI42" s="1499"/>
      <c r="AJ42" s="1499"/>
      <c r="AK42" s="1499"/>
      <c r="AL42" s="1499"/>
      <c r="AM42" s="1499"/>
      <c r="AN42" s="1499"/>
      <c r="AO42" s="1499"/>
      <c r="AP42" s="1499"/>
      <c r="AQ42" s="1499"/>
    </row>
    <row r="43" spans="1:43" s="66" customFormat="1" ht="30.75" customHeight="1">
      <c r="A43" s="93"/>
      <c r="B43" s="1499" t="s">
        <v>305</v>
      </c>
      <c r="C43" s="1499"/>
      <c r="D43" s="1499"/>
      <c r="E43" s="1499"/>
      <c r="F43" s="1499"/>
      <c r="G43" s="1499"/>
      <c r="H43" s="1499"/>
      <c r="I43" s="1499"/>
      <c r="J43" s="1499"/>
      <c r="K43" s="1499"/>
      <c r="L43" s="1499"/>
      <c r="M43" s="1499"/>
      <c r="N43" s="1499"/>
      <c r="O43" s="1499"/>
      <c r="P43" s="1499"/>
      <c r="Q43" s="1499"/>
      <c r="R43" s="1499"/>
      <c r="S43" s="1499"/>
      <c r="T43" s="1499"/>
      <c r="U43" s="1499"/>
      <c r="V43" s="1499"/>
      <c r="W43" s="1499"/>
      <c r="X43" s="1499"/>
      <c r="Y43" s="1499"/>
      <c r="Z43" s="1499"/>
      <c r="AA43" s="1499"/>
      <c r="AB43" s="1499"/>
      <c r="AC43" s="1499"/>
      <c r="AD43" s="1499"/>
      <c r="AE43" s="1499"/>
      <c r="AF43" s="1499"/>
      <c r="AG43" s="1499"/>
      <c r="AH43" s="1499"/>
      <c r="AI43" s="1499"/>
      <c r="AJ43" s="1499"/>
      <c r="AK43" s="1499"/>
      <c r="AL43" s="1499"/>
      <c r="AM43" s="1499"/>
      <c r="AN43" s="1499"/>
      <c r="AO43" s="1499"/>
      <c r="AP43" s="1499"/>
      <c r="AQ43" s="1499"/>
    </row>
    <row r="44" spans="1:43" s="66" customFormat="1" ht="30.75" customHeight="1">
      <c r="A44" s="93"/>
      <c r="B44" s="1499" t="s">
        <v>306</v>
      </c>
      <c r="C44" s="1499"/>
      <c r="D44" s="1499"/>
      <c r="E44" s="1499"/>
      <c r="F44" s="1499"/>
      <c r="G44" s="1499"/>
      <c r="H44" s="1499"/>
      <c r="I44" s="1499"/>
      <c r="J44" s="1499"/>
      <c r="K44" s="1499"/>
      <c r="L44" s="1499"/>
      <c r="M44" s="1499"/>
      <c r="N44" s="1499"/>
      <c r="O44" s="1499"/>
      <c r="P44" s="1499"/>
      <c r="Q44" s="1499"/>
      <c r="R44" s="1499"/>
      <c r="S44" s="1499"/>
      <c r="T44" s="1499"/>
      <c r="U44" s="1499"/>
      <c r="V44" s="1499"/>
      <c r="W44" s="1499"/>
      <c r="X44" s="1499"/>
      <c r="Y44" s="1499"/>
      <c r="Z44" s="1499"/>
      <c r="AA44" s="1499"/>
      <c r="AB44" s="1499"/>
      <c r="AC44" s="1499"/>
      <c r="AD44" s="1499"/>
      <c r="AE44" s="1499"/>
      <c r="AF44" s="1499"/>
      <c r="AG44" s="1499"/>
      <c r="AH44" s="1499"/>
      <c r="AI44" s="1499"/>
      <c r="AJ44" s="1499"/>
      <c r="AK44" s="1499"/>
      <c r="AL44" s="1499"/>
      <c r="AM44" s="1499"/>
      <c r="AN44" s="1499"/>
      <c r="AO44" s="1499"/>
      <c r="AP44" s="1499"/>
      <c r="AQ44" s="1499"/>
    </row>
    <row r="45" spans="1:43" s="66" customFormat="1" ht="30.75" customHeight="1">
      <c r="A45" s="93"/>
      <c r="B45" s="1499" t="s">
        <v>307</v>
      </c>
      <c r="C45" s="1499"/>
      <c r="D45" s="1499"/>
      <c r="E45" s="1499"/>
      <c r="F45" s="1499"/>
      <c r="G45" s="1499"/>
      <c r="H45" s="1499"/>
      <c r="I45" s="1499"/>
      <c r="J45" s="1499"/>
      <c r="K45" s="1499"/>
      <c r="L45" s="1499"/>
      <c r="M45" s="1499"/>
      <c r="N45" s="1499"/>
      <c r="O45" s="1499"/>
      <c r="P45" s="1499"/>
      <c r="Q45" s="1499"/>
      <c r="R45" s="1499"/>
      <c r="S45" s="1499"/>
      <c r="T45" s="1499"/>
      <c r="U45" s="1499"/>
      <c r="V45" s="1499"/>
      <c r="W45" s="1499"/>
      <c r="X45" s="1499"/>
      <c r="Y45" s="1499"/>
      <c r="Z45" s="1499"/>
      <c r="AA45" s="1499"/>
      <c r="AB45" s="1499"/>
      <c r="AC45" s="1499"/>
      <c r="AD45" s="1499"/>
      <c r="AE45" s="1499"/>
      <c r="AF45" s="1499"/>
      <c r="AG45" s="1499"/>
      <c r="AH45" s="1499"/>
      <c r="AI45" s="1499"/>
      <c r="AJ45" s="1499"/>
      <c r="AK45" s="1499"/>
      <c r="AL45" s="1499"/>
      <c r="AM45" s="1499"/>
      <c r="AN45" s="1499"/>
      <c r="AO45" s="1499"/>
      <c r="AP45" s="1499"/>
      <c r="AQ45" s="1499"/>
    </row>
    <row r="46" spans="1:43" s="66" customFormat="1" ht="30.75" customHeight="1">
      <c r="A46" s="93"/>
      <c r="B46" s="1499" t="s">
        <v>308</v>
      </c>
      <c r="C46" s="1499"/>
      <c r="D46" s="1499"/>
      <c r="E46" s="1499"/>
      <c r="F46" s="1499"/>
      <c r="G46" s="1499"/>
      <c r="H46" s="1499"/>
      <c r="I46" s="1499"/>
      <c r="J46" s="1499"/>
      <c r="K46" s="1499"/>
      <c r="L46" s="1499"/>
      <c r="M46" s="1499"/>
      <c r="N46" s="1499"/>
      <c r="O46" s="1499"/>
      <c r="P46" s="1499"/>
      <c r="Q46" s="1499"/>
      <c r="R46" s="1499"/>
      <c r="S46" s="1499"/>
      <c r="T46" s="1499"/>
      <c r="U46" s="1499"/>
      <c r="V46" s="1499"/>
      <c r="W46" s="1499"/>
      <c r="X46" s="1499"/>
      <c r="Y46" s="1499"/>
      <c r="Z46" s="1499"/>
      <c r="AA46" s="1499"/>
      <c r="AB46" s="1499"/>
      <c r="AC46" s="1499"/>
      <c r="AD46" s="1499"/>
      <c r="AE46" s="1499"/>
      <c r="AF46" s="1499"/>
      <c r="AG46" s="1499"/>
      <c r="AH46" s="1499"/>
      <c r="AI46" s="1499"/>
      <c r="AJ46" s="1499"/>
      <c r="AK46" s="1499"/>
      <c r="AL46" s="1499"/>
      <c r="AM46" s="1499"/>
      <c r="AN46" s="1499"/>
      <c r="AO46" s="1499"/>
      <c r="AP46" s="1499"/>
      <c r="AQ46" s="1499"/>
    </row>
    <row r="47" spans="1:43" s="66" customFormat="1" ht="30.75" customHeight="1">
      <c r="A47" s="93"/>
      <c r="B47" s="1499" t="s">
        <v>309</v>
      </c>
      <c r="C47" s="1499"/>
      <c r="D47" s="1499"/>
      <c r="E47" s="1499"/>
      <c r="F47" s="1499"/>
      <c r="G47" s="1499"/>
      <c r="H47" s="1499"/>
      <c r="I47" s="1499"/>
      <c r="J47" s="1499"/>
      <c r="K47" s="1499"/>
      <c r="L47" s="1499"/>
      <c r="M47" s="1499"/>
      <c r="N47" s="1499"/>
      <c r="O47" s="1499"/>
      <c r="P47" s="1499"/>
      <c r="Q47" s="1499"/>
      <c r="R47" s="1499"/>
      <c r="S47" s="1499"/>
      <c r="T47" s="1499"/>
      <c r="U47" s="1499"/>
      <c r="V47" s="1499"/>
      <c r="W47" s="1499"/>
      <c r="X47" s="1499"/>
      <c r="Y47" s="1499"/>
      <c r="Z47" s="1499"/>
      <c r="AA47" s="1499"/>
      <c r="AB47" s="1499"/>
      <c r="AC47" s="1499"/>
      <c r="AD47" s="1499"/>
      <c r="AE47" s="1499"/>
      <c r="AF47" s="1499"/>
      <c r="AG47" s="1499"/>
      <c r="AH47" s="1499"/>
      <c r="AI47" s="1499"/>
      <c r="AJ47" s="1499"/>
      <c r="AK47" s="1499"/>
      <c r="AL47" s="1499"/>
      <c r="AM47" s="1499"/>
      <c r="AN47" s="1499"/>
      <c r="AO47" s="1499"/>
      <c r="AP47" s="1499"/>
      <c r="AQ47" s="1499"/>
    </row>
    <row r="48" spans="1:43" s="66" customFormat="1" ht="30.75" customHeight="1">
      <c r="A48" s="93"/>
      <c r="B48" s="1499" t="s">
        <v>310</v>
      </c>
      <c r="C48" s="1499"/>
      <c r="D48" s="1499"/>
      <c r="E48" s="1499"/>
      <c r="F48" s="1499"/>
      <c r="G48" s="1499"/>
      <c r="H48" s="1499"/>
      <c r="I48" s="1499"/>
      <c r="J48" s="1499"/>
      <c r="K48" s="1499"/>
      <c r="L48" s="1499"/>
      <c r="M48" s="1499"/>
      <c r="N48" s="1499"/>
      <c r="O48" s="1499"/>
      <c r="P48" s="1499"/>
      <c r="Q48" s="1499"/>
      <c r="R48" s="1499"/>
      <c r="S48" s="1499"/>
      <c r="T48" s="1499"/>
      <c r="U48" s="1499"/>
      <c r="V48" s="1499"/>
      <c r="W48" s="1499"/>
      <c r="X48" s="1499"/>
      <c r="Y48" s="1499"/>
      <c r="Z48" s="1499"/>
      <c r="AA48" s="1499"/>
      <c r="AB48" s="1499"/>
      <c r="AC48" s="1499"/>
      <c r="AD48" s="1499"/>
      <c r="AE48" s="1499"/>
      <c r="AF48" s="1499"/>
      <c r="AG48" s="1499"/>
      <c r="AH48" s="1499"/>
      <c r="AI48" s="1499"/>
      <c r="AJ48" s="1499"/>
      <c r="AK48" s="1499"/>
      <c r="AL48" s="1499"/>
      <c r="AM48" s="1499"/>
      <c r="AN48" s="1499"/>
      <c r="AO48" s="1499"/>
      <c r="AP48" s="1499"/>
      <c r="AQ48" s="1499"/>
    </row>
    <row r="49" spans="1:43" s="66" customFormat="1" ht="30.75" customHeight="1">
      <c r="A49" s="93"/>
      <c r="B49" s="1499" t="s">
        <v>311</v>
      </c>
      <c r="C49" s="1499"/>
      <c r="D49" s="1499"/>
      <c r="E49" s="1499"/>
      <c r="F49" s="1499"/>
      <c r="G49" s="1499"/>
      <c r="H49" s="1499"/>
      <c r="I49" s="1499"/>
      <c r="J49" s="1499"/>
      <c r="K49" s="1499"/>
      <c r="L49" s="1499"/>
      <c r="M49" s="1499"/>
      <c r="N49" s="1499"/>
      <c r="O49" s="1499"/>
      <c r="P49" s="1499"/>
      <c r="Q49" s="1499"/>
      <c r="R49" s="1499"/>
      <c r="S49" s="1499"/>
      <c r="T49" s="1499"/>
      <c r="U49" s="1499"/>
      <c r="V49" s="1499"/>
      <c r="W49" s="1499"/>
      <c r="X49" s="1499"/>
      <c r="Y49" s="1499"/>
      <c r="Z49" s="1499"/>
      <c r="AA49" s="1499"/>
      <c r="AB49" s="1499"/>
      <c r="AC49" s="1499"/>
      <c r="AD49" s="1499"/>
      <c r="AE49" s="1499"/>
      <c r="AF49" s="1499"/>
      <c r="AG49" s="1499"/>
      <c r="AH49" s="1499"/>
      <c r="AI49" s="1499"/>
      <c r="AJ49" s="1499"/>
      <c r="AK49" s="1499"/>
      <c r="AL49" s="1499"/>
      <c r="AM49" s="1499"/>
      <c r="AN49" s="1499"/>
      <c r="AO49" s="1499"/>
      <c r="AP49" s="1499"/>
      <c r="AQ49" s="1499"/>
    </row>
    <row r="50" spans="1:43" s="66" customFormat="1" ht="30.75" customHeight="1">
      <c r="A50" s="93"/>
      <c r="B50" s="1499" t="s">
        <v>312</v>
      </c>
      <c r="C50" s="1499"/>
      <c r="D50" s="1499"/>
      <c r="E50" s="1499"/>
      <c r="F50" s="1499"/>
      <c r="G50" s="1499"/>
      <c r="H50" s="1499"/>
      <c r="I50" s="1499"/>
      <c r="J50" s="1499"/>
      <c r="K50" s="1499"/>
      <c r="L50" s="1499"/>
      <c r="M50" s="1499"/>
      <c r="N50" s="1499"/>
      <c r="O50" s="1499"/>
      <c r="P50" s="1499"/>
      <c r="Q50" s="1499"/>
      <c r="R50" s="1499"/>
      <c r="S50" s="1499"/>
      <c r="T50" s="1499"/>
      <c r="U50" s="1499"/>
      <c r="V50" s="1499"/>
      <c r="W50" s="1499"/>
      <c r="X50" s="1499"/>
      <c r="Y50" s="1499"/>
      <c r="Z50" s="1499"/>
      <c r="AA50" s="1499"/>
      <c r="AB50" s="1499"/>
      <c r="AC50" s="1499"/>
      <c r="AD50" s="1499"/>
      <c r="AE50" s="1499"/>
      <c r="AF50" s="1499"/>
      <c r="AG50" s="1499"/>
      <c r="AH50" s="1499"/>
      <c r="AI50" s="1499"/>
      <c r="AJ50" s="1499"/>
      <c r="AK50" s="1499"/>
      <c r="AL50" s="1499"/>
      <c r="AM50" s="1499"/>
      <c r="AN50" s="1499"/>
      <c r="AO50" s="1499"/>
      <c r="AP50" s="1499"/>
      <c r="AQ50" s="1499"/>
    </row>
    <row r="51" spans="1:43" s="66" customFormat="1" ht="30.75" customHeight="1">
      <c r="A51" s="93"/>
      <c r="B51" s="1499" t="s">
        <v>313</v>
      </c>
      <c r="C51" s="1499"/>
      <c r="D51" s="1499"/>
      <c r="E51" s="1499"/>
      <c r="F51" s="1499"/>
      <c r="G51" s="1499"/>
      <c r="H51" s="1499"/>
      <c r="I51" s="1499"/>
      <c r="J51" s="1499"/>
      <c r="K51" s="1499"/>
      <c r="L51" s="1499"/>
      <c r="M51" s="1499"/>
      <c r="N51" s="1499"/>
      <c r="O51" s="1499"/>
      <c r="P51" s="1499"/>
      <c r="Q51" s="1499"/>
      <c r="R51" s="1499"/>
      <c r="S51" s="1499"/>
      <c r="T51" s="1499"/>
      <c r="U51" s="1499"/>
      <c r="V51" s="1499"/>
      <c r="W51" s="1499"/>
      <c r="X51" s="1499"/>
      <c r="Y51" s="1499"/>
      <c r="Z51" s="1499"/>
      <c r="AA51" s="1499"/>
      <c r="AB51" s="1499"/>
      <c r="AC51" s="1499"/>
      <c r="AD51" s="1499"/>
      <c r="AE51" s="1499"/>
      <c r="AF51" s="1499"/>
      <c r="AG51" s="1499"/>
      <c r="AH51" s="1499"/>
      <c r="AI51" s="1499"/>
      <c r="AJ51" s="1499"/>
      <c r="AK51" s="1499"/>
      <c r="AL51" s="1499"/>
      <c r="AM51" s="1499"/>
      <c r="AN51" s="1499"/>
      <c r="AO51" s="1499"/>
      <c r="AP51" s="1499"/>
      <c r="AQ51" s="1499"/>
    </row>
    <row r="52" spans="1:43" s="66" customFormat="1" ht="30.75" customHeight="1">
      <c r="A52" s="93"/>
      <c r="B52" s="1499" t="s">
        <v>314</v>
      </c>
      <c r="C52" s="1499"/>
      <c r="D52" s="1499"/>
      <c r="E52" s="1499"/>
      <c r="F52" s="1499"/>
      <c r="G52" s="1499"/>
      <c r="H52" s="1499"/>
      <c r="I52" s="1499"/>
      <c r="J52" s="1499"/>
      <c r="K52" s="1499"/>
      <c r="L52" s="1499"/>
      <c r="M52" s="1499"/>
      <c r="N52" s="1499"/>
      <c r="O52" s="1499"/>
      <c r="P52" s="1499"/>
      <c r="Q52" s="1499"/>
      <c r="R52" s="1499"/>
      <c r="S52" s="1499"/>
      <c r="T52" s="1499"/>
      <c r="U52" s="1499"/>
      <c r="V52" s="1499"/>
      <c r="W52" s="1499"/>
      <c r="X52" s="1499"/>
      <c r="Y52" s="1499"/>
      <c r="Z52" s="1499"/>
      <c r="AA52" s="1499"/>
      <c r="AB52" s="1499"/>
      <c r="AC52" s="1499"/>
      <c r="AD52" s="1499"/>
      <c r="AE52" s="1499"/>
      <c r="AF52" s="1499"/>
      <c r="AG52" s="1499"/>
      <c r="AH52" s="1499"/>
      <c r="AI52" s="1499"/>
      <c r="AJ52" s="1499"/>
      <c r="AK52" s="1499"/>
      <c r="AL52" s="1499"/>
      <c r="AM52" s="1499"/>
      <c r="AN52" s="1499"/>
      <c r="AO52" s="1499"/>
      <c r="AP52" s="1499"/>
      <c r="AQ52" s="1499"/>
    </row>
    <row r="53" spans="1:43" s="66" customFormat="1" ht="30.75" customHeight="1">
      <c r="A53" s="93"/>
      <c r="B53" s="1499" t="s">
        <v>315</v>
      </c>
      <c r="C53" s="1499"/>
      <c r="D53" s="1499"/>
      <c r="E53" s="1499"/>
      <c r="F53" s="1499"/>
      <c r="G53" s="1499"/>
      <c r="H53" s="1499"/>
      <c r="I53" s="1499"/>
      <c r="J53" s="1499"/>
      <c r="K53" s="1499"/>
      <c r="L53" s="1499"/>
      <c r="M53" s="1499"/>
      <c r="N53" s="1499"/>
      <c r="O53" s="1499"/>
      <c r="P53" s="1499"/>
      <c r="Q53" s="1499"/>
      <c r="R53" s="1499"/>
      <c r="S53" s="1499"/>
      <c r="T53" s="1499"/>
      <c r="U53" s="1499"/>
      <c r="V53" s="1499"/>
      <c r="W53" s="1499"/>
      <c r="X53" s="1499"/>
      <c r="Y53" s="1499"/>
      <c r="Z53" s="1499"/>
      <c r="AA53" s="1499"/>
      <c r="AB53" s="1499"/>
      <c r="AC53" s="1499"/>
      <c r="AD53" s="1499"/>
      <c r="AE53" s="1499"/>
      <c r="AF53" s="1499"/>
      <c r="AG53" s="1499"/>
      <c r="AH53" s="1499"/>
      <c r="AI53" s="1499"/>
      <c r="AJ53" s="1499"/>
      <c r="AK53" s="1499"/>
      <c r="AL53" s="1499"/>
      <c r="AM53" s="1499"/>
      <c r="AN53" s="1499"/>
      <c r="AO53" s="1499"/>
      <c r="AP53" s="1499"/>
      <c r="AQ53" s="1499"/>
    </row>
    <row r="54" spans="1:43" s="66" customFormat="1" ht="30.75" customHeight="1">
      <c r="A54" s="93"/>
      <c r="B54" s="1499" t="s">
        <v>316</v>
      </c>
      <c r="C54" s="1499"/>
      <c r="D54" s="1499"/>
      <c r="E54" s="1499"/>
      <c r="F54" s="1499"/>
      <c r="G54" s="1499"/>
      <c r="H54" s="1499"/>
      <c r="I54" s="1499"/>
      <c r="J54" s="1499"/>
      <c r="K54" s="1499"/>
      <c r="L54" s="1499"/>
      <c r="M54" s="1499"/>
      <c r="N54" s="1499"/>
      <c r="O54" s="1499"/>
      <c r="P54" s="1499"/>
      <c r="Q54" s="1499"/>
      <c r="R54" s="1499"/>
      <c r="S54" s="1499"/>
      <c r="T54" s="1499"/>
      <c r="U54" s="1499"/>
      <c r="V54" s="1499"/>
      <c r="W54" s="1499"/>
      <c r="X54" s="1499"/>
      <c r="Y54" s="1499"/>
      <c r="Z54" s="1499"/>
      <c r="AA54" s="1499"/>
      <c r="AB54" s="1499"/>
      <c r="AC54" s="1499"/>
      <c r="AD54" s="1499"/>
      <c r="AE54" s="1499"/>
      <c r="AF54" s="1499"/>
      <c r="AG54" s="1499"/>
      <c r="AH54" s="1499"/>
      <c r="AI54" s="1499"/>
      <c r="AJ54" s="1499"/>
      <c r="AK54" s="1499"/>
      <c r="AL54" s="1499"/>
      <c r="AM54" s="1499"/>
      <c r="AN54" s="1499"/>
      <c r="AO54" s="1499"/>
      <c r="AP54" s="1499"/>
      <c r="AQ54" s="1499"/>
    </row>
    <row r="55" spans="1:43" s="66" customFormat="1" ht="30.75" customHeight="1">
      <c r="A55" s="93"/>
      <c r="B55" s="1499" t="s">
        <v>317</v>
      </c>
      <c r="C55" s="1499"/>
      <c r="D55" s="1499"/>
      <c r="E55" s="1499"/>
      <c r="F55" s="1499"/>
      <c r="G55" s="1499"/>
      <c r="H55" s="1499"/>
      <c r="I55" s="1499"/>
      <c r="J55" s="1499"/>
      <c r="K55" s="1499"/>
      <c r="L55" s="1499"/>
      <c r="M55" s="1499"/>
      <c r="N55" s="1499"/>
      <c r="O55" s="1499"/>
      <c r="P55" s="1499"/>
      <c r="Q55" s="1499"/>
      <c r="R55" s="1499"/>
      <c r="S55" s="1499"/>
      <c r="T55" s="1499"/>
      <c r="U55" s="1499"/>
      <c r="V55" s="1499"/>
      <c r="W55" s="1499"/>
      <c r="X55" s="1499"/>
      <c r="Y55" s="1499"/>
      <c r="Z55" s="1499"/>
      <c r="AA55" s="1499"/>
      <c r="AB55" s="1499"/>
      <c r="AC55" s="1499"/>
      <c r="AD55" s="1499"/>
      <c r="AE55" s="1499"/>
      <c r="AF55" s="1499"/>
      <c r="AG55" s="1499"/>
      <c r="AH55" s="1499"/>
      <c r="AI55" s="1499"/>
      <c r="AJ55" s="1499"/>
      <c r="AK55" s="1499"/>
      <c r="AL55" s="1499"/>
      <c r="AM55" s="1499"/>
      <c r="AN55" s="1499"/>
      <c r="AO55" s="1499"/>
      <c r="AP55" s="1499"/>
      <c r="AQ55" s="1499"/>
    </row>
    <row r="56" spans="1:43" s="66" customFormat="1" ht="30.75" customHeight="1">
      <c r="A56" s="93"/>
      <c r="B56" s="1499" t="s">
        <v>318</v>
      </c>
      <c r="C56" s="1499"/>
      <c r="D56" s="1499"/>
      <c r="E56" s="1499"/>
      <c r="F56" s="1499"/>
      <c r="G56" s="1499"/>
      <c r="H56" s="1499"/>
      <c r="I56" s="1499"/>
      <c r="J56" s="1499"/>
      <c r="K56" s="1499"/>
      <c r="L56" s="1499"/>
      <c r="M56" s="1499"/>
      <c r="N56" s="1499"/>
      <c r="O56" s="1499"/>
      <c r="P56" s="1499"/>
      <c r="Q56" s="1499"/>
      <c r="R56" s="1499"/>
      <c r="S56" s="1499"/>
      <c r="T56" s="1499"/>
      <c r="U56" s="1499"/>
      <c r="V56" s="1499"/>
      <c r="W56" s="1499"/>
      <c r="X56" s="1499"/>
      <c r="Y56" s="1499"/>
      <c r="Z56" s="1499"/>
      <c r="AA56" s="1499"/>
      <c r="AB56" s="1499"/>
      <c r="AC56" s="1499"/>
      <c r="AD56" s="1499"/>
      <c r="AE56" s="1499"/>
      <c r="AF56" s="1499"/>
      <c r="AG56" s="1499"/>
      <c r="AH56" s="1499"/>
      <c r="AI56" s="1499"/>
      <c r="AJ56" s="1499"/>
      <c r="AK56" s="1499"/>
      <c r="AL56" s="1499"/>
      <c r="AM56" s="1499"/>
      <c r="AN56" s="1499"/>
      <c r="AO56" s="1499"/>
      <c r="AP56" s="1499"/>
      <c r="AQ56" s="1499"/>
    </row>
    <row r="57" spans="1:43" s="66" customFormat="1" ht="30.75" customHeight="1">
      <c r="A57" s="93"/>
      <c r="B57" s="1499" t="s">
        <v>319</v>
      </c>
      <c r="C57" s="1499"/>
      <c r="D57" s="1499"/>
      <c r="E57" s="1499"/>
      <c r="F57" s="1499"/>
      <c r="G57" s="1499"/>
      <c r="H57" s="1499"/>
      <c r="I57" s="1499"/>
      <c r="J57" s="1499"/>
      <c r="K57" s="1499"/>
      <c r="L57" s="1499"/>
      <c r="M57" s="1499"/>
      <c r="N57" s="1499"/>
      <c r="O57" s="1499"/>
      <c r="P57" s="1499"/>
      <c r="Q57" s="1499"/>
      <c r="R57" s="1499"/>
      <c r="S57" s="1499"/>
      <c r="T57" s="1499"/>
      <c r="U57" s="1499"/>
      <c r="V57" s="1499"/>
      <c r="W57" s="1499"/>
      <c r="X57" s="1499"/>
      <c r="Y57" s="1499"/>
      <c r="Z57" s="1499"/>
      <c r="AA57" s="1499"/>
      <c r="AB57" s="1499"/>
      <c r="AC57" s="1499"/>
      <c r="AD57" s="1499"/>
      <c r="AE57" s="1499"/>
      <c r="AF57" s="1499"/>
      <c r="AG57" s="1499"/>
      <c r="AH57" s="1499"/>
      <c r="AI57" s="1499"/>
      <c r="AJ57" s="1499"/>
      <c r="AK57" s="1499"/>
      <c r="AL57" s="1499"/>
      <c r="AM57" s="1499"/>
      <c r="AN57" s="1499"/>
      <c r="AO57" s="1499"/>
      <c r="AP57" s="1499"/>
      <c r="AQ57" s="1499"/>
    </row>
    <row r="58" spans="1:43" s="66" customFormat="1" ht="30.75" customHeight="1">
      <c r="A58" s="93"/>
      <c r="B58" s="1499" t="s">
        <v>320</v>
      </c>
      <c r="C58" s="1499"/>
      <c r="D58" s="1499"/>
      <c r="E58" s="1499"/>
      <c r="F58" s="1499"/>
      <c r="G58" s="1499"/>
      <c r="H58" s="1499"/>
      <c r="I58" s="1499"/>
      <c r="J58" s="1499"/>
      <c r="K58" s="1499"/>
      <c r="L58" s="1499"/>
      <c r="M58" s="1499"/>
      <c r="N58" s="1499"/>
      <c r="O58" s="1499"/>
      <c r="P58" s="1499"/>
      <c r="Q58" s="1499"/>
      <c r="R58" s="1499"/>
      <c r="S58" s="1499"/>
      <c r="T58" s="1499"/>
      <c r="U58" s="1499"/>
      <c r="V58" s="1499"/>
      <c r="W58" s="1499"/>
      <c r="X58" s="1499"/>
      <c r="Y58" s="1499"/>
      <c r="Z58" s="1499"/>
      <c r="AA58" s="1499"/>
      <c r="AB58" s="1499"/>
      <c r="AC58" s="1499"/>
      <c r="AD58" s="1499"/>
      <c r="AE58" s="1499"/>
      <c r="AF58" s="1499"/>
      <c r="AG58" s="1499"/>
      <c r="AH58" s="1499"/>
      <c r="AI58" s="1499"/>
      <c r="AJ58" s="1499"/>
      <c r="AK58" s="1499"/>
      <c r="AL58" s="1499"/>
      <c r="AM58" s="1499"/>
      <c r="AN58" s="1499"/>
      <c r="AO58" s="1499"/>
      <c r="AP58" s="1499"/>
      <c r="AQ58" s="1499"/>
    </row>
    <row r="59" spans="1:43" s="66" customFormat="1" ht="30.75" customHeight="1">
      <c r="A59" s="93"/>
      <c r="B59" s="1499" t="s">
        <v>321</v>
      </c>
      <c r="C59" s="1499"/>
      <c r="D59" s="1499"/>
      <c r="E59" s="1499"/>
      <c r="F59" s="1499"/>
      <c r="G59" s="1499"/>
      <c r="H59" s="1499"/>
      <c r="I59" s="1499"/>
      <c r="J59" s="1499"/>
      <c r="K59" s="1499"/>
      <c r="L59" s="1499"/>
      <c r="M59" s="1499"/>
      <c r="N59" s="1499"/>
      <c r="O59" s="1499"/>
      <c r="P59" s="1499"/>
      <c r="Q59" s="1499"/>
      <c r="R59" s="1499"/>
      <c r="S59" s="1499"/>
      <c r="T59" s="1499"/>
      <c r="U59" s="1499"/>
      <c r="V59" s="1499"/>
      <c r="W59" s="1499"/>
      <c r="X59" s="1499"/>
      <c r="Y59" s="1499"/>
      <c r="Z59" s="1499"/>
      <c r="AA59" s="1499"/>
      <c r="AB59" s="1499"/>
      <c r="AC59" s="1499"/>
      <c r="AD59" s="1499"/>
      <c r="AE59" s="1499"/>
      <c r="AF59" s="1499"/>
      <c r="AG59" s="1499"/>
      <c r="AH59" s="1499"/>
      <c r="AI59" s="1499"/>
      <c r="AJ59" s="1499"/>
      <c r="AK59" s="1499"/>
      <c r="AL59" s="1499"/>
      <c r="AM59" s="1499"/>
      <c r="AN59" s="1499"/>
      <c r="AO59" s="1499"/>
      <c r="AP59" s="1499"/>
      <c r="AQ59" s="1499"/>
    </row>
    <row r="60" spans="1:43" s="66" customFormat="1" ht="30.75" customHeight="1">
      <c r="A60" s="93"/>
      <c r="B60" s="1499" t="s">
        <v>322</v>
      </c>
      <c r="C60" s="1499"/>
      <c r="D60" s="1499"/>
      <c r="E60" s="1499"/>
      <c r="F60" s="1499"/>
      <c r="G60" s="1499"/>
      <c r="H60" s="1499"/>
      <c r="I60" s="1499"/>
      <c r="J60" s="1499"/>
      <c r="K60" s="1499"/>
      <c r="L60" s="1499"/>
      <c r="M60" s="1499"/>
      <c r="N60" s="1499"/>
      <c r="O60" s="1499"/>
      <c r="P60" s="1499"/>
      <c r="Q60" s="1499"/>
      <c r="R60" s="1499"/>
      <c r="S60" s="1499"/>
      <c r="T60" s="1499"/>
      <c r="U60" s="1499"/>
      <c r="V60" s="1499"/>
      <c r="W60" s="1499"/>
      <c r="X60" s="1499"/>
      <c r="Y60" s="1499"/>
      <c r="Z60" s="1499"/>
      <c r="AA60" s="1499"/>
      <c r="AB60" s="1499"/>
      <c r="AC60" s="1499"/>
      <c r="AD60" s="1499"/>
      <c r="AE60" s="1499"/>
      <c r="AF60" s="1499"/>
      <c r="AG60" s="1499"/>
      <c r="AH60" s="1499"/>
      <c r="AI60" s="1499"/>
      <c r="AJ60" s="1499"/>
      <c r="AK60" s="1499"/>
      <c r="AL60" s="1499"/>
      <c r="AM60" s="1499"/>
      <c r="AN60" s="1499"/>
      <c r="AO60" s="1499"/>
      <c r="AP60" s="1499"/>
      <c r="AQ60" s="1499"/>
    </row>
    <row r="61" spans="1:43" s="66" customFormat="1" ht="30.75" customHeight="1">
      <c r="A61" s="93"/>
      <c r="B61" s="1499" t="s">
        <v>323</v>
      </c>
      <c r="C61" s="1499"/>
      <c r="D61" s="1499"/>
      <c r="E61" s="1499"/>
      <c r="F61" s="1499"/>
      <c r="G61" s="1499"/>
      <c r="H61" s="1499"/>
      <c r="I61" s="1499"/>
      <c r="J61" s="1499"/>
      <c r="K61" s="1499"/>
      <c r="L61" s="1499"/>
      <c r="M61" s="1499"/>
      <c r="N61" s="1499"/>
      <c r="O61" s="1499"/>
      <c r="P61" s="1499"/>
      <c r="Q61" s="1499"/>
      <c r="R61" s="1499"/>
      <c r="S61" s="1499"/>
      <c r="T61" s="1499"/>
      <c r="U61" s="1499"/>
      <c r="V61" s="1499"/>
      <c r="W61" s="1499"/>
      <c r="X61" s="1499"/>
      <c r="Y61" s="1499"/>
      <c r="Z61" s="1499"/>
      <c r="AA61" s="1499"/>
      <c r="AB61" s="1499"/>
      <c r="AC61" s="1499"/>
      <c r="AD61" s="1499"/>
      <c r="AE61" s="1499"/>
      <c r="AF61" s="1499"/>
      <c r="AG61" s="1499"/>
      <c r="AH61" s="1499"/>
      <c r="AI61" s="1499"/>
      <c r="AJ61" s="1499"/>
      <c r="AK61" s="1499"/>
      <c r="AL61" s="1499"/>
      <c r="AM61" s="1499"/>
      <c r="AN61" s="1499"/>
      <c r="AO61" s="1499"/>
      <c r="AP61" s="1499"/>
      <c r="AQ61" s="1499"/>
    </row>
    <row r="62" spans="1:43" s="66" customFormat="1" ht="30.75" customHeight="1">
      <c r="A62" s="93"/>
      <c r="B62" s="1499" t="s">
        <v>324</v>
      </c>
      <c r="C62" s="1499"/>
      <c r="D62" s="1499"/>
      <c r="E62" s="1499"/>
      <c r="F62" s="1499"/>
      <c r="G62" s="1499"/>
      <c r="H62" s="1499"/>
      <c r="I62" s="1499"/>
      <c r="J62" s="1499"/>
      <c r="K62" s="1499"/>
      <c r="L62" s="1499"/>
      <c r="M62" s="1499"/>
      <c r="N62" s="1499"/>
      <c r="O62" s="1499"/>
      <c r="P62" s="1499"/>
      <c r="Q62" s="1499"/>
      <c r="R62" s="1499"/>
      <c r="S62" s="1499"/>
      <c r="T62" s="1499"/>
      <c r="U62" s="1499"/>
      <c r="V62" s="1499"/>
      <c r="W62" s="1499"/>
      <c r="X62" s="1499"/>
      <c r="Y62" s="1499"/>
      <c r="Z62" s="1499"/>
      <c r="AA62" s="1499"/>
      <c r="AB62" s="1499"/>
      <c r="AC62" s="1499"/>
      <c r="AD62" s="1499"/>
      <c r="AE62" s="1499"/>
      <c r="AF62" s="1499"/>
      <c r="AG62" s="1499"/>
      <c r="AH62" s="1499"/>
      <c r="AI62" s="1499"/>
      <c r="AJ62" s="1499"/>
      <c r="AK62" s="1499"/>
      <c r="AL62" s="1499"/>
      <c r="AM62" s="1499"/>
      <c r="AN62" s="1499"/>
      <c r="AO62" s="1499"/>
      <c r="AP62" s="1499"/>
      <c r="AQ62" s="1499"/>
    </row>
    <row r="63" spans="1:43" s="66" customFormat="1" ht="30.75" customHeight="1">
      <c r="A63" s="93"/>
      <c r="B63" s="1499" t="s">
        <v>325</v>
      </c>
      <c r="C63" s="1499"/>
      <c r="D63" s="1499"/>
      <c r="E63" s="1499"/>
      <c r="F63" s="1499"/>
      <c r="G63" s="1499"/>
      <c r="H63" s="1499"/>
      <c r="I63" s="1499"/>
      <c r="J63" s="1499"/>
      <c r="K63" s="1499"/>
      <c r="L63" s="1499"/>
      <c r="M63" s="1499"/>
      <c r="N63" s="1499"/>
      <c r="O63" s="1499"/>
      <c r="P63" s="1499"/>
      <c r="Q63" s="1499"/>
      <c r="R63" s="1499"/>
      <c r="S63" s="1499"/>
      <c r="T63" s="1499"/>
      <c r="U63" s="1499"/>
      <c r="V63" s="1499"/>
      <c r="W63" s="1499"/>
      <c r="X63" s="1499"/>
      <c r="Y63" s="1499"/>
      <c r="Z63" s="1499"/>
      <c r="AA63" s="1499"/>
      <c r="AB63" s="1499"/>
      <c r="AC63" s="1499"/>
      <c r="AD63" s="1499"/>
      <c r="AE63" s="1499"/>
      <c r="AF63" s="1499"/>
      <c r="AG63" s="1499"/>
      <c r="AH63" s="1499"/>
      <c r="AI63" s="1499"/>
      <c r="AJ63" s="1499"/>
      <c r="AK63" s="1499"/>
      <c r="AL63" s="1499"/>
      <c r="AM63" s="1499"/>
      <c r="AN63" s="1499"/>
      <c r="AO63" s="1499"/>
      <c r="AP63" s="1499"/>
      <c r="AQ63" s="1499"/>
    </row>
    <row r="64" spans="1:43" s="66" customFormat="1" ht="30.75" customHeight="1">
      <c r="A64" s="93"/>
      <c r="B64" s="1499" t="s">
        <v>326</v>
      </c>
      <c r="C64" s="1499"/>
      <c r="D64" s="1499"/>
      <c r="E64" s="1499"/>
      <c r="F64" s="1499"/>
      <c r="G64" s="1499"/>
      <c r="H64" s="1499"/>
      <c r="I64" s="1499"/>
      <c r="J64" s="1499"/>
      <c r="K64" s="1499"/>
      <c r="L64" s="1499"/>
      <c r="M64" s="1499"/>
      <c r="N64" s="1499"/>
      <c r="O64" s="1499"/>
      <c r="P64" s="1499"/>
      <c r="Q64" s="1499"/>
      <c r="R64" s="1499"/>
      <c r="S64" s="1499"/>
      <c r="T64" s="1499"/>
      <c r="U64" s="1499"/>
      <c r="V64" s="1499"/>
      <c r="W64" s="1499"/>
      <c r="X64" s="1499"/>
      <c r="Y64" s="1499"/>
      <c r="Z64" s="1499"/>
      <c r="AA64" s="1499"/>
      <c r="AB64" s="1499"/>
      <c r="AC64" s="1499"/>
      <c r="AD64" s="1499"/>
      <c r="AE64" s="1499"/>
      <c r="AF64" s="1499"/>
      <c r="AG64" s="1499"/>
      <c r="AH64" s="1499"/>
      <c r="AI64" s="1499"/>
      <c r="AJ64" s="1499"/>
      <c r="AK64" s="1499"/>
      <c r="AL64" s="1499"/>
      <c r="AM64" s="1499"/>
      <c r="AN64" s="1499"/>
      <c r="AO64" s="1499"/>
      <c r="AP64" s="1499"/>
      <c r="AQ64" s="1499"/>
    </row>
    <row r="65" spans="1:43" s="66" customFormat="1" ht="30.75" customHeight="1">
      <c r="A65" s="93"/>
      <c r="B65" s="1499" t="s">
        <v>327</v>
      </c>
      <c r="C65" s="1499"/>
      <c r="D65" s="1499"/>
      <c r="E65" s="1499"/>
      <c r="F65" s="1499"/>
      <c r="G65" s="1499"/>
      <c r="H65" s="1499"/>
      <c r="I65" s="1499"/>
      <c r="J65" s="1499"/>
      <c r="K65" s="1499"/>
      <c r="L65" s="1499"/>
      <c r="M65" s="1499"/>
      <c r="N65" s="1499"/>
      <c r="O65" s="1499"/>
      <c r="P65" s="1499"/>
      <c r="Q65" s="1499"/>
      <c r="R65" s="1499"/>
      <c r="S65" s="1499"/>
      <c r="T65" s="1499"/>
      <c r="U65" s="1499"/>
      <c r="V65" s="1499"/>
      <c r="W65" s="1499"/>
      <c r="X65" s="1499"/>
      <c r="Y65" s="1499"/>
      <c r="Z65" s="1499"/>
      <c r="AA65" s="1499"/>
      <c r="AB65" s="1499"/>
      <c r="AC65" s="1499"/>
      <c r="AD65" s="1499"/>
      <c r="AE65" s="1499"/>
      <c r="AF65" s="1499"/>
      <c r="AG65" s="1499"/>
      <c r="AH65" s="1499"/>
      <c r="AI65" s="1499"/>
      <c r="AJ65" s="1499"/>
      <c r="AK65" s="1499"/>
      <c r="AL65" s="1499"/>
      <c r="AM65" s="1499"/>
      <c r="AN65" s="1499"/>
      <c r="AO65" s="1499"/>
      <c r="AP65" s="1499"/>
      <c r="AQ65" s="1499"/>
    </row>
    <row r="66" spans="1:43" s="66" customFormat="1" ht="30.75" customHeight="1">
      <c r="A66" s="93"/>
      <c r="B66" s="1499" t="s">
        <v>328</v>
      </c>
      <c r="C66" s="1499"/>
      <c r="D66" s="1499"/>
      <c r="E66" s="1499"/>
      <c r="F66" s="1499"/>
      <c r="G66" s="1499"/>
      <c r="H66" s="1499"/>
      <c r="I66" s="1499"/>
      <c r="J66" s="1499"/>
      <c r="K66" s="1499"/>
      <c r="L66" s="1499"/>
      <c r="M66" s="1499"/>
      <c r="N66" s="1499"/>
      <c r="O66" s="1499"/>
      <c r="P66" s="1499"/>
      <c r="Q66" s="1499"/>
      <c r="R66" s="1499"/>
      <c r="S66" s="1499"/>
      <c r="T66" s="1499"/>
      <c r="U66" s="1499"/>
      <c r="V66" s="1499"/>
      <c r="W66" s="1499"/>
      <c r="X66" s="1499"/>
      <c r="Y66" s="1499"/>
      <c r="Z66" s="1499"/>
      <c r="AA66" s="1499"/>
      <c r="AB66" s="1499"/>
      <c r="AC66" s="1499"/>
      <c r="AD66" s="1499"/>
      <c r="AE66" s="1499"/>
      <c r="AF66" s="1499"/>
      <c r="AG66" s="1499"/>
      <c r="AH66" s="1499"/>
      <c r="AI66" s="1499"/>
      <c r="AJ66" s="1499"/>
      <c r="AK66" s="1499"/>
      <c r="AL66" s="1499"/>
      <c r="AM66" s="1499"/>
      <c r="AN66" s="1499"/>
      <c r="AO66" s="1499"/>
      <c r="AP66" s="1499"/>
      <c r="AQ66" s="1499"/>
    </row>
    <row r="67" spans="1:43" s="66" customFormat="1" ht="30.75" customHeight="1">
      <c r="A67" s="93"/>
      <c r="B67" s="1499" t="s">
        <v>329</v>
      </c>
      <c r="C67" s="1499"/>
      <c r="D67" s="1499"/>
      <c r="E67" s="1499"/>
      <c r="F67" s="1499"/>
      <c r="G67" s="1499"/>
      <c r="H67" s="1499"/>
      <c r="I67" s="1499"/>
      <c r="J67" s="1499"/>
      <c r="K67" s="1499"/>
      <c r="L67" s="1499"/>
      <c r="M67" s="1499"/>
      <c r="N67" s="1499"/>
      <c r="O67" s="1499"/>
      <c r="P67" s="1499"/>
      <c r="Q67" s="1499"/>
      <c r="R67" s="1499"/>
      <c r="S67" s="1499"/>
      <c r="T67" s="1499"/>
      <c r="U67" s="1499"/>
      <c r="V67" s="1499"/>
      <c r="W67" s="1499"/>
      <c r="X67" s="1499"/>
      <c r="Y67" s="1499"/>
      <c r="Z67" s="1499"/>
      <c r="AA67" s="1499"/>
      <c r="AB67" s="1499"/>
      <c r="AC67" s="1499"/>
      <c r="AD67" s="1499"/>
      <c r="AE67" s="1499"/>
      <c r="AF67" s="1499"/>
      <c r="AG67" s="1499"/>
      <c r="AH67" s="1499"/>
      <c r="AI67" s="1499"/>
      <c r="AJ67" s="1499"/>
      <c r="AK67" s="1499"/>
      <c r="AL67" s="1499"/>
      <c r="AM67" s="1499"/>
      <c r="AN67" s="1499"/>
      <c r="AO67" s="1499"/>
      <c r="AP67" s="1499"/>
      <c r="AQ67" s="1499"/>
    </row>
    <row r="68" spans="1:43" s="66" customFormat="1" ht="30.75" customHeight="1">
      <c r="A68" s="93"/>
      <c r="B68" s="1499" t="s">
        <v>330</v>
      </c>
      <c r="C68" s="1499"/>
      <c r="D68" s="1499"/>
      <c r="E68" s="1499"/>
      <c r="F68" s="1499"/>
      <c r="G68" s="1499"/>
      <c r="H68" s="1499"/>
      <c r="I68" s="1499"/>
      <c r="J68" s="1499"/>
      <c r="K68" s="1499"/>
      <c r="L68" s="1499"/>
      <c r="M68" s="1499"/>
      <c r="N68" s="1499"/>
      <c r="O68" s="1499"/>
      <c r="P68" s="1499"/>
      <c r="Q68" s="1499"/>
      <c r="R68" s="1499"/>
      <c r="S68" s="1499"/>
      <c r="T68" s="1499"/>
      <c r="U68" s="1499"/>
      <c r="V68" s="1499"/>
      <c r="W68" s="1499"/>
      <c r="X68" s="1499"/>
      <c r="Y68" s="1499"/>
      <c r="Z68" s="1499"/>
      <c r="AA68" s="1499"/>
      <c r="AB68" s="1499"/>
      <c r="AC68" s="1499"/>
      <c r="AD68" s="1499"/>
      <c r="AE68" s="1499"/>
      <c r="AF68" s="1499"/>
      <c r="AG68" s="1499"/>
      <c r="AH68" s="1499"/>
      <c r="AI68" s="1499"/>
      <c r="AJ68" s="1499"/>
      <c r="AK68" s="1499"/>
      <c r="AL68" s="1499"/>
      <c r="AM68" s="1499"/>
      <c r="AN68" s="1499"/>
      <c r="AO68" s="1499"/>
      <c r="AP68" s="1499"/>
      <c r="AQ68" s="1499"/>
    </row>
    <row r="69" spans="1:43" s="66" customFormat="1" ht="30.75" customHeight="1">
      <c r="A69" s="93"/>
      <c r="B69" s="1499" t="s">
        <v>331</v>
      </c>
      <c r="C69" s="1499"/>
      <c r="D69" s="1499"/>
      <c r="E69" s="1499"/>
      <c r="F69" s="1499"/>
      <c r="G69" s="1499"/>
      <c r="H69" s="1499"/>
      <c r="I69" s="1499"/>
      <c r="J69" s="1499"/>
      <c r="K69" s="1499"/>
      <c r="L69" s="1499"/>
      <c r="M69" s="1499"/>
      <c r="N69" s="1499"/>
      <c r="O69" s="1499"/>
      <c r="P69" s="1499"/>
      <c r="Q69" s="1499"/>
      <c r="R69" s="1499"/>
      <c r="S69" s="1499"/>
      <c r="T69" s="1499"/>
      <c r="U69" s="1499"/>
      <c r="V69" s="1499"/>
      <c r="W69" s="1499"/>
      <c r="X69" s="1499"/>
      <c r="Y69" s="1499"/>
      <c r="Z69" s="1499"/>
      <c r="AA69" s="1499"/>
      <c r="AB69" s="1499"/>
      <c r="AC69" s="1499"/>
      <c r="AD69" s="1499"/>
      <c r="AE69" s="1499"/>
      <c r="AF69" s="1499"/>
      <c r="AG69" s="1499"/>
      <c r="AH69" s="1499"/>
      <c r="AI69" s="1499"/>
      <c r="AJ69" s="1499"/>
      <c r="AK69" s="1499"/>
      <c r="AL69" s="1499"/>
      <c r="AM69" s="1499"/>
      <c r="AN69" s="1499"/>
      <c r="AO69" s="1499"/>
      <c r="AP69" s="1499"/>
      <c r="AQ69" s="1499"/>
    </row>
    <row r="70" spans="1:43" s="66" customFormat="1" ht="30.75" customHeight="1">
      <c r="A70" s="93"/>
      <c r="B70" s="1499" t="s">
        <v>332</v>
      </c>
      <c r="C70" s="1499"/>
      <c r="D70" s="1499"/>
      <c r="E70" s="1499"/>
      <c r="F70" s="1499"/>
      <c r="G70" s="1499"/>
      <c r="H70" s="1499"/>
      <c r="I70" s="1499"/>
      <c r="J70" s="1499"/>
      <c r="K70" s="1499"/>
      <c r="L70" s="1499"/>
      <c r="M70" s="1499"/>
      <c r="N70" s="1499"/>
      <c r="O70" s="1499"/>
      <c r="P70" s="1499"/>
      <c r="Q70" s="1499"/>
      <c r="R70" s="1499"/>
      <c r="S70" s="1499"/>
      <c r="T70" s="1499"/>
      <c r="U70" s="1499"/>
      <c r="V70" s="1499"/>
      <c r="W70" s="1499"/>
      <c r="X70" s="1499"/>
      <c r="Y70" s="1499"/>
      <c r="Z70" s="1499"/>
      <c r="AA70" s="1499"/>
      <c r="AB70" s="1499"/>
      <c r="AC70" s="1499"/>
      <c r="AD70" s="1499"/>
      <c r="AE70" s="1499"/>
      <c r="AF70" s="1499"/>
      <c r="AG70" s="1499"/>
      <c r="AH70" s="1499"/>
      <c r="AI70" s="1499"/>
      <c r="AJ70" s="1499"/>
      <c r="AK70" s="1499"/>
      <c r="AL70" s="1499"/>
      <c r="AM70" s="1499"/>
      <c r="AN70" s="1499"/>
      <c r="AO70" s="1499"/>
      <c r="AP70" s="1499"/>
      <c r="AQ70" s="1499"/>
    </row>
    <row r="71" spans="1:43" s="66" customFormat="1" ht="30.75" customHeight="1">
      <c r="A71" s="93"/>
      <c r="B71" s="1499" t="s">
        <v>333</v>
      </c>
      <c r="C71" s="1499"/>
      <c r="D71" s="1499"/>
      <c r="E71" s="1499"/>
      <c r="F71" s="1499"/>
      <c r="G71" s="1499"/>
      <c r="H71" s="1499"/>
      <c r="I71" s="1499"/>
      <c r="J71" s="1499"/>
      <c r="K71" s="1499"/>
      <c r="L71" s="1499"/>
      <c r="M71" s="1499"/>
      <c r="N71" s="1499"/>
      <c r="O71" s="1499"/>
      <c r="P71" s="1499"/>
      <c r="Q71" s="1499"/>
      <c r="R71" s="1499"/>
      <c r="S71" s="1499"/>
      <c r="T71" s="1499"/>
      <c r="U71" s="1499"/>
      <c r="V71" s="1499"/>
      <c r="W71" s="1499"/>
      <c r="X71" s="1499"/>
      <c r="Y71" s="1499"/>
      <c r="Z71" s="1499"/>
      <c r="AA71" s="1499"/>
      <c r="AB71" s="1499"/>
      <c r="AC71" s="1499"/>
      <c r="AD71" s="1499"/>
      <c r="AE71" s="1499"/>
      <c r="AF71" s="1499"/>
      <c r="AG71" s="1499"/>
      <c r="AH71" s="1499"/>
      <c r="AI71" s="1499"/>
      <c r="AJ71" s="1499"/>
      <c r="AK71" s="1499"/>
      <c r="AL71" s="1499"/>
      <c r="AM71" s="1499"/>
      <c r="AN71" s="1499"/>
      <c r="AO71" s="1499"/>
      <c r="AP71" s="1499"/>
      <c r="AQ71" s="1499"/>
    </row>
    <row r="72" spans="1:43" s="66" customFormat="1" ht="30.75" customHeight="1">
      <c r="A72" s="93"/>
      <c r="B72" s="1499" t="s">
        <v>334</v>
      </c>
      <c r="C72" s="1499"/>
      <c r="D72" s="1499"/>
      <c r="E72" s="1499"/>
      <c r="F72" s="1499"/>
      <c r="G72" s="1499"/>
      <c r="H72" s="1499"/>
      <c r="I72" s="1499"/>
      <c r="J72" s="1499"/>
      <c r="K72" s="1499"/>
      <c r="L72" s="1499"/>
      <c r="M72" s="1499"/>
      <c r="N72" s="1499"/>
      <c r="O72" s="1499"/>
      <c r="P72" s="1499"/>
      <c r="Q72" s="1499"/>
      <c r="R72" s="1499"/>
      <c r="S72" s="1499"/>
      <c r="T72" s="1499"/>
      <c r="U72" s="1499"/>
      <c r="V72" s="1499"/>
      <c r="W72" s="1499"/>
      <c r="X72" s="1499"/>
      <c r="Y72" s="1499"/>
      <c r="Z72" s="1499"/>
      <c r="AA72" s="1499"/>
      <c r="AB72" s="1499"/>
      <c r="AC72" s="1499"/>
      <c r="AD72" s="1499"/>
      <c r="AE72" s="1499"/>
      <c r="AF72" s="1499"/>
      <c r="AG72" s="1499"/>
      <c r="AH72" s="1499"/>
      <c r="AI72" s="1499"/>
      <c r="AJ72" s="1499"/>
      <c r="AK72" s="1499"/>
      <c r="AL72" s="1499"/>
      <c r="AM72" s="1499"/>
      <c r="AN72" s="1499"/>
      <c r="AO72" s="1499"/>
      <c r="AP72" s="1499"/>
      <c r="AQ72" s="1499"/>
    </row>
    <row r="73" spans="1:43" s="66" customFormat="1" ht="30.75" customHeight="1">
      <c r="A73" s="93"/>
      <c r="B73" s="1499" t="s">
        <v>335</v>
      </c>
      <c r="C73" s="1499"/>
      <c r="D73" s="1499"/>
      <c r="E73" s="1499"/>
      <c r="F73" s="1499"/>
      <c r="G73" s="1499"/>
      <c r="H73" s="1499"/>
      <c r="I73" s="1499"/>
      <c r="J73" s="1499"/>
      <c r="K73" s="1499"/>
      <c r="L73" s="1499"/>
      <c r="M73" s="1499"/>
      <c r="N73" s="1499"/>
      <c r="O73" s="1499"/>
      <c r="P73" s="1499"/>
      <c r="Q73" s="1499"/>
      <c r="R73" s="1499"/>
      <c r="S73" s="1499"/>
      <c r="T73" s="1499"/>
      <c r="U73" s="1499"/>
      <c r="V73" s="1499"/>
      <c r="W73" s="1499"/>
      <c r="X73" s="1499"/>
      <c r="Y73" s="1499"/>
      <c r="Z73" s="1499"/>
      <c r="AA73" s="1499"/>
      <c r="AB73" s="1499"/>
      <c r="AC73" s="1499"/>
      <c r="AD73" s="1499"/>
      <c r="AE73" s="1499"/>
      <c r="AF73" s="1499"/>
      <c r="AG73" s="1499"/>
      <c r="AH73" s="1499"/>
      <c r="AI73" s="1499"/>
      <c r="AJ73" s="1499"/>
      <c r="AK73" s="1499"/>
      <c r="AL73" s="1499"/>
      <c r="AM73" s="1499"/>
      <c r="AN73" s="1499"/>
      <c r="AO73" s="1499"/>
      <c r="AP73" s="1499"/>
      <c r="AQ73" s="1499"/>
    </row>
    <row r="74" spans="1:43" s="66" customFormat="1" ht="30.75" customHeight="1">
      <c r="A74" s="93"/>
      <c r="B74" s="1499" t="s">
        <v>336</v>
      </c>
      <c r="C74" s="1499"/>
      <c r="D74" s="1499"/>
      <c r="E74" s="1499"/>
      <c r="F74" s="1499"/>
      <c r="G74" s="1499"/>
      <c r="H74" s="1499"/>
      <c r="I74" s="1499"/>
      <c r="J74" s="1499"/>
      <c r="K74" s="1499"/>
      <c r="L74" s="1499"/>
      <c r="M74" s="1499"/>
      <c r="N74" s="1499"/>
      <c r="O74" s="1499"/>
      <c r="P74" s="1499"/>
      <c r="Q74" s="1499"/>
      <c r="R74" s="1499"/>
      <c r="S74" s="1499"/>
      <c r="T74" s="1499"/>
      <c r="U74" s="1499"/>
      <c r="V74" s="1499"/>
      <c r="W74" s="1499"/>
      <c r="X74" s="1499"/>
      <c r="Y74" s="1499"/>
      <c r="Z74" s="1499"/>
      <c r="AA74" s="1499"/>
      <c r="AB74" s="1499"/>
      <c r="AC74" s="1499"/>
      <c r="AD74" s="1499"/>
      <c r="AE74" s="1499"/>
      <c r="AF74" s="1499"/>
      <c r="AG74" s="1499"/>
      <c r="AH74" s="1499"/>
      <c r="AI74" s="1499"/>
      <c r="AJ74" s="1499"/>
      <c r="AK74" s="1499"/>
      <c r="AL74" s="1499"/>
      <c r="AM74" s="1499"/>
      <c r="AN74" s="1499"/>
      <c r="AO74" s="1499"/>
      <c r="AP74" s="1499"/>
      <c r="AQ74" s="1499"/>
    </row>
    <row r="75" spans="1:43" s="66" customFormat="1" ht="30.75" customHeight="1">
      <c r="A75" s="93"/>
      <c r="B75" s="1499" t="s">
        <v>337</v>
      </c>
      <c r="C75" s="1499"/>
      <c r="D75" s="1499"/>
      <c r="E75" s="1499"/>
      <c r="F75" s="1499"/>
      <c r="G75" s="1499"/>
      <c r="H75" s="1499"/>
      <c r="I75" s="1499"/>
      <c r="J75" s="1499"/>
      <c r="K75" s="1499"/>
      <c r="L75" s="1499"/>
      <c r="M75" s="1499"/>
      <c r="N75" s="1499"/>
      <c r="O75" s="1499"/>
      <c r="P75" s="1499"/>
      <c r="Q75" s="1499"/>
      <c r="R75" s="1499"/>
      <c r="S75" s="1499"/>
      <c r="T75" s="1499"/>
      <c r="U75" s="1499"/>
      <c r="V75" s="1499"/>
      <c r="W75" s="1499"/>
      <c r="X75" s="1499"/>
      <c r="Y75" s="1499"/>
      <c r="Z75" s="1499"/>
      <c r="AA75" s="1499"/>
      <c r="AB75" s="1499"/>
      <c r="AC75" s="1499"/>
      <c r="AD75" s="1499"/>
      <c r="AE75" s="1499"/>
      <c r="AF75" s="1499"/>
      <c r="AG75" s="1499"/>
      <c r="AH75" s="1499"/>
      <c r="AI75" s="1499"/>
      <c r="AJ75" s="1499"/>
      <c r="AK75" s="1499"/>
      <c r="AL75" s="1499"/>
      <c r="AM75" s="1499"/>
      <c r="AN75" s="1499"/>
      <c r="AO75" s="1499"/>
      <c r="AP75" s="1499"/>
      <c r="AQ75" s="1499"/>
    </row>
    <row r="76" spans="2:42" ht="19.5" customHeight="1">
      <c r="B76" s="1501"/>
      <c r="C76" s="1501"/>
      <c r="D76" s="1501"/>
      <c r="E76" s="1501"/>
      <c r="F76" s="1501"/>
      <c r="G76" s="1501"/>
      <c r="H76" s="1501"/>
      <c r="I76" s="1501"/>
      <c r="J76" s="1501"/>
      <c r="K76" s="1501"/>
      <c r="L76" s="1501"/>
      <c r="M76" s="1501"/>
      <c r="N76" s="1501"/>
      <c r="O76" s="1501"/>
      <c r="P76" s="1501"/>
      <c r="Q76" s="1501"/>
      <c r="R76" s="1501"/>
      <c r="S76" s="1501"/>
      <c r="T76" s="1501"/>
      <c r="U76" s="1501"/>
      <c r="V76" s="1501"/>
      <c r="W76" s="95"/>
      <c r="X76" s="95"/>
      <c r="Y76" s="95"/>
      <c r="Z76" s="95"/>
      <c r="AA76" s="95"/>
      <c r="AB76" s="95"/>
      <c r="AC76" s="95"/>
      <c r="AD76" s="95"/>
      <c r="AE76" s="95"/>
      <c r="AF76" s="95"/>
      <c r="AG76" s="95"/>
      <c r="AH76" s="95"/>
      <c r="AI76" s="95"/>
      <c r="AJ76" s="95"/>
      <c r="AK76" s="95"/>
      <c r="AL76" s="95"/>
      <c r="AM76" s="95"/>
      <c r="AN76" s="95"/>
      <c r="AO76" s="95"/>
      <c r="AP76" s="95"/>
    </row>
    <row r="77" ht="19.5" customHeight="1"/>
    <row r="78" ht="19.5" customHeight="1"/>
    <row r="79" ht="19.5" customHeight="1">
      <c r="AQ79" s="71"/>
    </row>
    <row r="80" ht="19.5" customHeight="1">
      <c r="AQ80" s="71"/>
    </row>
    <row r="81" ht="19.5" customHeight="1">
      <c r="AQ81" s="71"/>
    </row>
    <row r="82" ht="19.5" customHeight="1">
      <c r="AQ82" s="71"/>
    </row>
    <row r="83" ht="19.5" customHeight="1">
      <c r="AQ83" s="71"/>
    </row>
    <row r="84" ht="19.5" customHeight="1">
      <c r="AQ84" s="71"/>
    </row>
    <row r="85" ht="19.5" customHeight="1">
      <c r="AQ85" s="71"/>
    </row>
    <row r="86" ht="19.5" customHeight="1">
      <c r="AQ86" s="71"/>
    </row>
    <row r="87" ht="19.5" customHeight="1">
      <c r="AQ87" s="71"/>
    </row>
    <row r="88" ht="19.5" customHeight="1">
      <c r="AQ88" s="71"/>
    </row>
    <row r="89" ht="19.5" customHeight="1">
      <c r="AQ89" s="71"/>
    </row>
    <row r="90" ht="19.5" customHeight="1">
      <c r="AQ90" s="71"/>
    </row>
    <row r="91" ht="18.75">
      <c r="AQ91" s="71"/>
    </row>
    <row r="92" ht="18.75">
      <c r="AQ92" s="71"/>
    </row>
    <row r="93" ht="18.75">
      <c r="AQ93" s="71"/>
    </row>
    <row r="94" ht="18.75">
      <c r="AQ94" s="71"/>
    </row>
    <row r="95" ht="18.75">
      <c r="AQ95" s="71"/>
    </row>
    <row r="96" ht="18.75">
      <c r="AQ96" s="71"/>
    </row>
    <row r="97" ht="18.75">
      <c r="AQ97" s="71"/>
    </row>
    <row r="98" ht="18.75">
      <c r="AQ98" s="71"/>
    </row>
    <row r="99" ht="18.75">
      <c r="AQ99" s="71"/>
    </row>
    <row r="100" ht="18.75">
      <c r="AQ100" s="71"/>
    </row>
    <row r="101" ht="18.75">
      <c r="AQ101" s="71"/>
    </row>
    <row r="102" ht="18.75">
      <c r="AQ102" s="71"/>
    </row>
    <row r="103" ht="18.75">
      <c r="AQ103" s="71"/>
    </row>
    <row r="104" ht="18.75">
      <c r="AQ104" s="71"/>
    </row>
    <row r="105" ht="18.75">
      <c r="AQ105" s="71"/>
    </row>
    <row r="106" ht="18.75">
      <c r="AQ106" s="71"/>
    </row>
    <row r="107" ht="18.75">
      <c r="AQ107" s="71"/>
    </row>
    <row r="108" ht="18.75">
      <c r="AQ108" s="71"/>
    </row>
    <row r="109" ht="18.75">
      <c r="AQ109" s="71"/>
    </row>
    <row r="110" ht="18.75">
      <c r="AQ110" s="71"/>
    </row>
    <row r="111" ht="18.75">
      <c r="AQ111" s="71"/>
    </row>
    <row r="112" ht="18.75">
      <c r="AQ112" s="71"/>
    </row>
    <row r="113" ht="18.75">
      <c r="AQ113" s="71"/>
    </row>
    <row r="114" ht="18.75">
      <c r="AQ114" s="71"/>
    </row>
    <row r="115" ht="18.75">
      <c r="AQ115" s="71"/>
    </row>
    <row r="116" ht="18.75">
      <c r="AQ116" s="71"/>
    </row>
    <row r="117" ht="18.75">
      <c r="AQ117" s="71"/>
    </row>
    <row r="118" ht="18.75">
      <c r="AQ118" s="71"/>
    </row>
    <row r="119" ht="18.75">
      <c r="AQ119" s="71"/>
    </row>
    <row r="120" ht="18.75">
      <c r="AQ120" s="71"/>
    </row>
    <row r="121" ht="18.75">
      <c r="AQ121" s="71"/>
    </row>
    <row r="122" ht="18.75">
      <c r="AQ122" s="71"/>
    </row>
    <row r="123" ht="18.75">
      <c r="AQ123" s="71"/>
    </row>
    <row r="124" ht="18.75">
      <c r="AQ124" s="71"/>
    </row>
    <row r="125" ht="18.75">
      <c r="AQ125" s="71"/>
    </row>
    <row r="126" ht="18.75">
      <c r="AQ126" s="71"/>
    </row>
    <row r="127" ht="18.75">
      <c r="AQ127" s="71"/>
    </row>
    <row r="128" ht="18.75">
      <c r="AQ128" s="71"/>
    </row>
    <row r="129" ht="18.75">
      <c r="AQ129" s="71"/>
    </row>
    <row r="130" ht="18.75">
      <c r="AQ130" s="71"/>
    </row>
    <row r="131" ht="18.75">
      <c r="AQ131" s="71"/>
    </row>
    <row r="132" ht="18.75">
      <c r="AQ132" s="71"/>
    </row>
    <row r="133" ht="18.75">
      <c r="AQ133" s="71"/>
    </row>
    <row r="134" ht="18.75">
      <c r="AQ134" s="71"/>
    </row>
    <row r="135" ht="18.75">
      <c r="AQ135" s="71"/>
    </row>
    <row r="136" ht="18.75">
      <c r="AQ136" s="71"/>
    </row>
    <row r="137" ht="18.75">
      <c r="AQ137" s="71"/>
    </row>
    <row r="138" ht="18.75">
      <c r="AQ138" s="71"/>
    </row>
    <row r="139" ht="18.75">
      <c r="AQ139" s="71"/>
    </row>
    <row r="140" ht="18.75">
      <c r="AQ140" s="71"/>
    </row>
    <row r="141" ht="18.75">
      <c r="AQ141" s="71"/>
    </row>
    <row r="142" ht="18.75">
      <c r="AQ142" s="71"/>
    </row>
    <row r="143" ht="18.75">
      <c r="AQ143" s="71"/>
    </row>
    <row r="144" ht="18.75">
      <c r="AQ144" s="71"/>
    </row>
    <row r="145" ht="18.75">
      <c r="AQ145" s="71"/>
    </row>
    <row r="146" ht="18.75">
      <c r="AQ146" s="71"/>
    </row>
    <row r="147" ht="18.75">
      <c r="AQ147" s="71"/>
    </row>
    <row r="148" ht="18.75">
      <c r="AQ148" s="71"/>
    </row>
    <row r="149" ht="18.75">
      <c r="AQ149" s="71"/>
    </row>
    <row r="150" ht="18.75">
      <c r="AQ150" s="71"/>
    </row>
    <row r="151" ht="18.75">
      <c r="AQ151" s="71"/>
    </row>
    <row r="152" ht="18.75">
      <c r="AQ152" s="71"/>
    </row>
    <row r="153" ht="18.75">
      <c r="AQ153" s="71"/>
    </row>
    <row r="154" ht="18.75">
      <c r="AQ154" s="71"/>
    </row>
    <row r="155" ht="18.75">
      <c r="AQ155" s="71"/>
    </row>
    <row r="156" ht="18.75">
      <c r="AQ156" s="71"/>
    </row>
    <row r="157" ht="18.75">
      <c r="AQ157" s="71"/>
    </row>
    <row r="158" ht="18.75">
      <c r="AQ158" s="71"/>
    </row>
    <row r="159" ht="18.75">
      <c r="AQ159" s="71"/>
    </row>
    <row r="160" ht="18.75">
      <c r="AQ160" s="71"/>
    </row>
    <row r="161" ht="18.75">
      <c r="AQ161" s="71"/>
    </row>
    <row r="162" ht="18.75">
      <c r="AQ162" s="71"/>
    </row>
    <row r="163" ht="18.75">
      <c r="AQ163" s="71"/>
    </row>
    <row r="164" ht="18.75">
      <c r="AQ164" s="71"/>
    </row>
    <row r="165" ht="18.75">
      <c r="AQ165" s="71"/>
    </row>
    <row r="166" ht="18.75">
      <c r="AQ166" s="71"/>
    </row>
    <row r="167" ht="18.75">
      <c r="AQ167" s="71"/>
    </row>
    <row r="168" ht="18.75">
      <c r="AQ168" s="71"/>
    </row>
    <row r="169" ht="18.75">
      <c r="AQ169" s="71"/>
    </row>
    <row r="170" ht="18.75">
      <c r="AQ170" s="71"/>
    </row>
    <row r="171" ht="18.75">
      <c r="AQ171" s="71"/>
    </row>
    <row r="172" ht="18.75">
      <c r="AQ172" s="71"/>
    </row>
    <row r="173" ht="18.75">
      <c r="AQ173" s="71"/>
    </row>
    <row r="174" ht="18.75">
      <c r="AQ174" s="71"/>
    </row>
    <row r="175" ht="18.75">
      <c r="AQ175" s="71"/>
    </row>
    <row r="176" ht="18.75">
      <c r="AQ176" s="71"/>
    </row>
    <row r="177" ht="18.75">
      <c r="AQ177" s="71"/>
    </row>
    <row r="178" ht="18.75">
      <c r="AQ178" s="71"/>
    </row>
    <row r="179" ht="18.75">
      <c r="AQ179" s="71"/>
    </row>
    <row r="180" ht="18.75">
      <c r="AQ180" s="71"/>
    </row>
    <row r="181" ht="18.75">
      <c r="AQ181" s="71"/>
    </row>
    <row r="182" ht="18.75">
      <c r="AQ182" s="71"/>
    </row>
    <row r="183" ht="18.75">
      <c r="AQ183" s="71"/>
    </row>
    <row r="184" ht="18.75">
      <c r="AQ184" s="71"/>
    </row>
    <row r="185" ht="18.75">
      <c r="AQ185" s="71"/>
    </row>
    <row r="186" ht="18.75">
      <c r="AQ186" s="71"/>
    </row>
    <row r="187" ht="18.75">
      <c r="AQ187" s="71"/>
    </row>
    <row r="188" ht="18.75">
      <c r="AQ188" s="71"/>
    </row>
    <row r="189" ht="18.75">
      <c r="AQ189" s="71"/>
    </row>
    <row r="190" ht="18.75">
      <c r="AQ190" s="71"/>
    </row>
    <row r="191" ht="18.75">
      <c r="AQ191" s="71"/>
    </row>
    <row r="192" ht="18.75">
      <c r="AQ192" s="71"/>
    </row>
    <row r="193" ht="18.75">
      <c r="AQ193" s="71"/>
    </row>
    <row r="194" ht="18.75">
      <c r="AQ194" s="71"/>
    </row>
    <row r="195" ht="18.75">
      <c r="AQ195" s="71"/>
    </row>
    <row r="196" ht="18.75">
      <c r="AQ196" s="71"/>
    </row>
    <row r="197" ht="18.75">
      <c r="AQ197" s="71"/>
    </row>
    <row r="198" ht="18.75">
      <c r="AQ198" s="71"/>
    </row>
    <row r="199" ht="18.75">
      <c r="AQ199" s="71"/>
    </row>
    <row r="200" ht="18.75">
      <c r="AQ200" s="71"/>
    </row>
    <row r="201" ht="18.75">
      <c r="AQ201" s="71"/>
    </row>
    <row r="202" ht="18.75">
      <c r="AQ202" s="71"/>
    </row>
    <row r="203" ht="18.75">
      <c r="AQ203" s="71"/>
    </row>
    <row r="204" ht="18.75">
      <c r="AQ204" s="71"/>
    </row>
    <row r="205" ht="18.75">
      <c r="AQ205" s="71"/>
    </row>
    <row r="206" ht="18.75">
      <c r="AQ206" s="71"/>
    </row>
    <row r="207" ht="18.75">
      <c r="AQ207" s="71"/>
    </row>
    <row r="208" ht="18.75">
      <c r="AQ208" s="71"/>
    </row>
    <row r="209" ht="18.75">
      <c r="AQ209" s="71"/>
    </row>
    <row r="210" ht="18.75">
      <c r="AQ210" s="71"/>
    </row>
    <row r="211" ht="18.75">
      <c r="AQ211" s="71"/>
    </row>
    <row r="212" ht="18.75">
      <c r="AQ212" s="71"/>
    </row>
    <row r="213" ht="18.75">
      <c r="AQ213" s="71"/>
    </row>
    <row r="214" ht="18.75">
      <c r="AQ214" s="71"/>
    </row>
    <row r="215" ht="18.75">
      <c r="AQ215" s="71"/>
    </row>
    <row r="216" ht="18.75">
      <c r="AQ216" s="71"/>
    </row>
    <row r="217" ht="18.75">
      <c r="AQ217" s="71"/>
    </row>
    <row r="218" ht="18.75">
      <c r="AQ218" s="71"/>
    </row>
    <row r="219" ht="18.75">
      <c r="AQ219" s="71"/>
    </row>
    <row r="220" ht="18.75">
      <c r="AQ220" s="71"/>
    </row>
    <row r="221" ht="18.75">
      <c r="AQ221" s="71"/>
    </row>
    <row r="222" ht="18.75">
      <c r="AQ222" s="71"/>
    </row>
    <row r="223" ht="18.75">
      <c r="AQ223" s="71"/>
    </row>
    <row r="224" ht="18.75">
      <c r="AQ224" s="71"/>
    </row>
    <row r="225" ht="18.75">
      <c r="AQ225" s="71"/>
    </row>
    <row r="226" ht="18.75">
      <c r="AQ226" s="71"/>
    </row>
    <row r="227" ht="18.75">
      <c r="AQ227" s="71"/>
    </row>
    <row r="228" ht="18.75">
      <c r="AQ228" s="71"/>
    </row>
    <row r="229" ht="18.75">
      <c r="AQ229" s="71"/>
    </row>
    <row r="230" ht="18.75">
      <c r="AQ230" s="71"/>
    </row>
    <row r="231" ht="18.75">
      <c r="AQ231" s="71"/>
    </row>
    <row r="232" ht="18.75">
      <c r="AQ232" s="71"/>
    </row>
    <row r="233" ht="18.75">
      <c r="AQ233" s="71"/>
    </row>
    <row r="234" ht="18.75">
      <c r="AQ234" s="71"/>
    </row>
    <row r="235" ht="18.75">
      <c r="AQ235" s="71"/>
    </row>
    <row r="236" ht="18.75">
      <c r="AQ236" s="71"/>
    </row>
    <row r="237" ht="18.75">
      <c r="AQ237" s="71"/>
    </row>
    <row r="238" ht="18.75">
      <c r="AQ238" s="71"/>
    </row>
    <row r="239" ht="18.75">
      <c r="AQ239" s="71"/>
    </row>
    <row r="240" ht="18.75">
      <c r="AQ240" s="71"/>
    </row>
    <row r="241" ht="18.75">
      <c r="AQ241" s="71"/>
    </row>
    <row r="242" ht="18.75">
      <c r="AQ242" s="71"/>
    </row>
    <row r="243" ht="18.75">
      <c r="AQ243" s="71"/>
    </row>
    <row r="244" ht="18.75">
      <c r="AQ244" s="71"/>
    </row>
    <row r="245" ht="18.75">
      <c r="AQ245" s="71"/>
    </row>
    <row r="246" ht="18.75">
      <c r="AQ246" s="71"/>
    </row>
    <row r="247" ht="18.75">
      <c r="AQ247" s="71"/>
    </row>
    <row r="248" ht="18.75">
      <c r="AQ248" s="71"/>
    </row>
    <row r="249" ht="18.75">
      <c r="AQ249" s="71"/>
    </row>
    <row r="250" ht="18.75">
      <c r="AQ250" s="71"/>
    </row>
    <row r="251" ht="18.75">
      <c r="AQ251" s="71"/>
    </row>
    <row r="252" ht="18.75">
      <c r="AQ252" s="71"/>
    </row>
    <row r="253" ht="18.75">
      <c r="AQ253" s="71"/>
    </row>
    <row r="254" ht="18.75">
      <c r="AQ254" s="71"/>
    </row>
    <row r="255" ht="18.75">
      <c r="AQ255" s="71"/>
    </row>
    <row r="256" ht="18.75">
      <c r="AQ256" s="71"/>
    </row>
    <row r="257" ht="18.75">
      <c r="AQ257" s="71"/>
    </row>
    <row r="258" ht="18.75">
      <c r="AQ258" s="71"/>
    </row>
    <row r="259" ht="18.75">
      <c r="AQ259" s="71"/>
    </row>
    <row r="260" ht="18.75">
      <c r="AQ260" s="71"/>
    </row>
    <row r="261" ht="18.75">
      <c r="AQ261" s="71"/>
    </row>
    <row r="262" ht="18.75">
      <c r="AQ262" s="71"/>
    </row>
    <row r="263" ht="18.75">
      <c r="AQ263" s="71"/>
    </row>
    <row r="264" ht="18.75">
      <c r="AQ264" s="71"/>
    </row>
    <row r="265" ht="18.75">
      <c r="AQ265" s="71"/>
    </row>
    <row r="266" ht="18.75">
      <c r="AQ266" s="71"/>
    </row>
    <row r="267" ht="18.75">
      <c r="AQ267" s="71"/>
    </row>
    <row r="268" ht="18.75">
      <c r="AQ268" s="71"/>
    </row>
    <row r="269" ht="18.75">
      <c r="AQ269" s="71"/>
    </row>
    <row r="270" ht="18.75">
      <c r="AQ270" s="71"/>
    </row>
    <row r="271" ht="18.75">
      <c r="AQ271" s="71"/>
    </row>
    <row r="272" ht="18.75">
      <c r="AQ272" s="71"/>
    </row>
    <row r="273" ht="18.75">
      <c r="AQ273" s="71"/>
    </row>
    <row r="274" ht="18.75">
      <c r="AQ274" s="71"/>
    </row>
    <row r="275" ht="18.75">
      <c r="AQ275" s="71"/>
    </row>
    <row r="276" ht="18.75">
      <c r="AQ276" s="71"/>
    </row>
    <row r="277" ht="18.75">
      <c r="AQ277" s="71"/>
    </row>
    <row r="278" ht="18.75">
      <c r="AQ278" s="71"/>
    </row>
    <row r="279" ht="18.75">
      <c r="AQ279" s="71"/>
    </row>
    <row r="280" ht="18.75">
      <c r="AQ280" s="71"/>
    </row>
    <row r="281" ht="18.75">
      <c r="AQ281" s="71"/>
    </row>
    <row r="282" ht="18.75">
      <c r="AQ282" s="71"/>
    </row>
    <row r="283" ht="18.75">
      <c r="AQ283" s="71"/>
    </row>
    <row r="284" ht="18.75">
      <c r="AQ284" s="71"/>
    </row>
    <row r="285" ht="18.75">
      <c r="AQ285" s="71"/>
    </row>
    <row r="286" ht="18.75">
      <c r="AQ286" s="71"/>
    </row>
    <row r="287" ht="18.75">
      <c r="AQ287" s="71"/>
    </row>
    <row r="288" ht="18.75">
      <c r="AQ288" s="71"/>
    </row>
    <row r="289" ht="18.75">
      <c r="AQ289" s="71"/>
    </row>
    <row r="290" ht="18.75">
      <c r="AQ290" s="71"/>
    </row>
    <row r="291" ht="18.75">
      <c r="AQ291" s="71"/>
    </row>
    <row r="292" ht="18.75">
      <c r="AQ292" s="71"/>
    </row>
    <row r="293" ht="18.75">
      <c r="AQ293" s="71"/>
    </row>
    <row r="294" ht="18.75">
      <c r="AQ294" s="71"/>
    </row>
    <row r="295" ht="18.75">
      <c r="AQ295" s="71"/>
    </row>
    <row r="296" ht="18.75">
      <c r="AQ296" s="71"/>
    </row>
    <row r="297" ht="18.75">
      <c r="AQ297" s="71"/>
    </row>
    <row r="298" ht="18.75">
      <c r="AQ298" s="71"/>
    </row>
    <row r="299" ht="18.75">
      <c r="AQ299" s="71"/>
    </row>
    <row r="300" ht="18.75">
      <c r="AQ300" s="71"/>
    </row>
    <row r="301" ht="18.75">
      <c r="AQ301" s="71"/>
    </row>
    <row r="302" ht="18.75">
      <c r="AQ302" s="71"/>
    </row>
    <row r="303" ht="18.75">
      <c r="AQ303" s="71"/>
    </row>
    <row r="304" ht="18.75">
      <c r="AQ304" s="71"/>
    </row>
    <row r="305" ht="18.75">
      <c r="AQ305" s="71"/>
    </row>
    <row r="306" ht="18.75">
      <c r="AQ306" s="71"/>
    </row>
    <row r="307" ht="18.75">
      <c r="AQ307" s="71"/>
    </row>
    <row r="308" ht="18.75">
      <c r="AQ308" s="71"/>
    </row>
    <row r="309" ht="18.75">
      <c r="AQ309" s="71"/>
    </row>
    <row r="310" ht="18.75">
      <c r="AQ310" s="71"/>
    </row>
    <row r="311" ht="18.75">
      <c r="AQ311" s="71"/>
    </row>
    <row r="312" ht="18.75">
      <c r="AQ312" s="71"/>
    </row>
    <row r="313" ht="18.75">
      <c r="AQ313" s="71"/>
    </row>
    <row r="314" ht="18.75">
      <c r="AQ314" s="71"/>
    </row>
    <row r="315" ht="18.75">
      <c r="AQ315" s="71"/>
    </row>
    <row r="316" ht="18.75">
      <c r="AQ316" s="71"/>
    </row>
    <row r="317" ht="18.75">
      <c r="AQ317" s="71"/>
    </row>
    <row r="318" ht="18.75">
      <c r="AQ318" s="71"/>
    </row>
    <row r="319" ht="18.75">
      <c r="AQ319" s="71"/>
    </row>
    <row r="320" ht="18.75">
      <c r="AQ320" s="71"/>
    </row>
    <row r="321" ht="18.75">
      <c r="AQ321" s="71"/>
    </row>
    <row r="322" ht="18.75">
      <c r="AQ322" s="71"/>
    </row>
    <row r="323" ht="18.75">
      <c r="AQ323" s="71"/>
    </row>
    <row r="324" ht="18.75">
      <c r="AQ324" s="71"/>
    </row>
    <row r="325" ht="18.75">
      <c r="AQ325" s="71"/>
    </row>
    <row r="326" ht="18.75">
      <c r="AQ326" s="71"/>
    </row>
    <row r="327" ht="18.75">
      <c r="AQ327" s="71"/>
    </row>
    <row r="328" ht="18.75">
      <c r="AQ328" s="71"/>
    </row>
    <row r="329" ht="18.75">
      <c r="AQ329" s="71"/>
    </row>
    <row r="330" ht="18.75">
      <c r="AQ330" s="71"/>
    </row>
    <row r="331" ht="18.75">
      <c r="AQ331" s="71"/>
    </row>
    <row r="332" ht="18.75">
      <c r="AQ332" s="71"/>
    </row>
    <row r="333" ht="18.75">
      <c r="AQ333" s="71"/>
    </row>
    <row r="334" ht="18.75">
      <c r="AQ334" s="71"/>
    </row>
    <row r="335" ht="18.75">
      <c r="AQ335" s="71"/>
    </row>
    <row r="336" ht="18.75">
      <c r="AQ336" s="71"/>
    </row>
    <row r="337" ht="18.75">
      <c r="AQ337" s="71"/>
    </row>
    <row r="338" ht="18.75">
      <c r="AQ338" s="71"/>
    </row>
    <row r="339" ht="18.75">
      <c r="AQ339" s="71"/>
    </row>
    <row r="340" ht="18.75">
      <c r="AQ340" s="71"/>
    </row>
    <row r="341" ht="18.75">
      <c r="AQ341" s="71"/>
    </row>
    <row r="342" ht="18.75">
      <c r="AQ342" s="71"/>
    </row>
    <row r="343" ht="18.75">
      <c r="AQ343" s="71"/>
    </row>
    <row r="344" ht="18.75">
      <c r="AQ344" s="71"/>
    </row>
    <row r="345" ht="18.75">
      <c r="AQ345" s="71"/>
    </row>
    <row r="346" ht="18.75">
      <c r="AQ346" s="71"/>
    </row>
    <row r="347" ht="18.75">
      <c r="AQ347" s="71"/>
    </row>
    <row r="348" ht="18.75">
      <c r="AQ348" s="71"/>
    </row>
    <row r="349" ht="18.75">
      <c r="AQ349" s="71"/>
    </row>
    <row r="350" ht="18.75">
      <c r="AQ350" s="71"/>
    </row>
    <row r="351" ht="18.75">
      <c r="AQ351" s="71"/>
    </row>
    <row r="352" ht="18.75">
      <c r="AQ352" s="71"/>
    </row>
    <row r="353" ht="18.75">
      <c r="AQ353" s="71"/>
    </row>
    <row r="354" ht="18.75">
      <c r="AQ354" s="71"/>
    </row>
    <row r="355" ht="18.75">
      <c r="AQ355" s="71"/>
    </row>
    <row r="356" ht="18.75">
      <c r="AQ356" s="71"/>
    </row>
    <row r="357" ht="18.75">
      <c r="AQ357" s="71"/>
    </row>
    <row r="358" ht="18.75">
      <c r="AQ358" s="71"/>
    </row>
    <row r="359" ht="18.75">
      <c r="AQ359" s="71"/>
    </row>
    <row r="360" ht="18.75">
      <c r="AQ360" s="71"/>
    </row>
    <row r="361" ht="18.75">
      <c r="AQ361" s="71"/>
    </row>
    <row r="362" ht="18.75">
      <c r="AQ362" s="71"/>
    </row>
    <row r="363" ht="18.75">
      <c r="AQ363" s="71"/>
    </row>
    <row r="364" ht="18.75">
      <c r="AQ364" s="71"/>
    </row>
    <row r="365" ht="18.75">
      <c r="AQ365" s="71"/>
    </row>
    <row r="366" ht="18.75">
      <c r="AQ366" s="71"/>
    </row>
    <row r="367" ht="18.75">
      <c r="AQ367" s="71"/>
    </row>
    <row r="368" ht="18.75">
      <c r="AQ368" s="71"/>
    </row>
    <row r="369" ht="18.75">
      <c r="AQ369" s="71"/>
    </row>
    <row r="370" ht="18.75">
      <c r="AQ370" s="71"/>
    </row>
    <row r="371" ht="18.75">
      <c r="AQ371" s="71"/>
    </row>
    <row r="372" ht="18.75">
      <c r="AQ372" s="71"/>
    </row>
    <row r="373" ht="18.75">
      <c r="AQ373" s="71"/>
    </row>
    <row r="374" ht="18.75">
      <c r="AQ374" s="71"/>
    </row>
    <row r="375" ht="18.75">
      <c r="AQ375" s="71"/>
    </row>
    <row r="376" ht="18.75">
      <c r="AQ376" s="71"/>
    </row>
    <row r="377" ht="18.75">
      <c r="AQ377" s="71"/>
    </row>
    <row r="378" ht="18.75">
      <c r="AQ378" s="71"/>
    </row>
    <row r="379" ht="18.75">
      <c r="AQ379" s="71"/>
    </row>
    <row r="380" ht="18.75">
      <c r="AQ380" s="71"/>
    </row>
    <row r="381" ht="18.75">
      <c r="AQ381" s="71"/>
    </row>
    <row r="382" ht="18.75">
      <c r="AQ382" s="71"/>
    </row>
    <row r="383" ht="18.75">
      <c r="AQ383" s="71"/>
    </row>
    <row r="384" ht="18.75">
      <c r="AQ384" s="71"/>
    </row>
    <row r="385" ht="18.75">
      <c r="AQ385" s="71"/>
    </row>
    <row r="386" ht="18.75">
      <c r="AQ386" s="71"/>
    </row>
    <row r="387" ht="18.75">
      <c r="AQ387" s="71"/>
    </row>
    <row r="388" ht="18.75">
      <c r="AQ388" s="71"/>
    </row>
    <row r="389" ht="18.75">
      <c r="AQ389" s="71"/>
    </row>
    <row r="390" ht="18.75">
      <c r="AQ390" s="71"/>
    </row>
    <row r="391" ht="18.75">
      <c r="AQ391" s="71"/>
    </row>
    <row r="392" ht="18.75">
      <c r="AQ392" s="71"/>
    </row>
    <row r="393" ht="18.75">
      <c r="AQ393" s="71"/>
    </row>
    <row r="394" ht="18.75">
      <c r="AQ394" s="71"/>
    </row>
    <row r="395" ht="18.75">
      <c r="AQ395" s="71"/>
    </row>
    <row r="396" ht="18.75">
      <c r="AQ396" s="71"/>
    </row>
    <row r="397" ht="18.75">
      <c r="AQ397" s="71"/>
    </row>
    <row r="398" ht="18.75">
      <c r="AQ398" s="71"/>
    </row>
    <row r="399" ht="18.75">
      <c r="AQ399" s="71"/>
    </row>
    <row r="400" ht="18.75">
      <c r="AQ400" s="71"/>
    </row>
    <row r="401" ht="18.75">
      <c r="AQ401" s="71"/>
    </row>
    <row r="402" ht="18.75">
      <c r="AQ402" s="71"/>
    </row>
    <row r="403" ht="18.75">
      <c r="AQ403" s="71"/>
    </row>
    <row r="404" ht="18.75">
      <c r="AQ404" s="71"/>
    </row>
    <row r="405" ht="18.75">
      <c r="AQ405" s="71"/>
    </row>
    <row r="406" ht="18.75">
      <c r="AQ406" s="71"/>
    </row>
    <row r="407" ht="18.75">
      <c r="AQ407" s="71"/>
    </row>
    <row r="408" ht="18.75">
      <c r="AQ408" s="71"/>
    </row>
    <row r="409" ht="18.75">
      <c r="AQ409" s="71"/>
    </row>
    <row r="410" ht="18.75">
      <c r="AQ410" s="71"/>
    </row>
    <row r="411" ht="18.75">
      <c r="AQ411" s="71"/>
    </row>
    <row r="412" ht="18.75">
      <c r="AQ412" s="71"/>
    </row>
  </sheetData>
  <sheetProtection/>
  <mergeCells count="98">
    <mergeCell ref="A2:AQ2"/>
    <mergeCell ref="A3:AQ3"/>
    <mergeCell ref="F4:J4"/>
    <mergeCell ref="K4:N4"/>
    <mergeCell ref="O4:R4"/>
    <mergeCell ref="S4:V4"/>
    <mergeCell ref="W4:Z4"/>
    <mergeCell ref="AA4:AD4"/>
    <mergeCell ref="AQ4:AQ7"/>
    <mergeCell ref="A4:A7"/>
    <mergeCell ref="B40:V40"/>
    <mergeCell ref="AF5:AH5"/>
    <mergeCell ref="AE4:AH4"/>
    <mergeCell ref="AI4:AL4"/>
    <mergeCell ref="U6:U7"/>
    <mergeCell ref="K5:K7"/>
    <mergeCell ref="R6:R7"/>
    <mergeCell ref="S5:S7"/>
    <mergeCell ref="D4:D7"/>
    <mergeCell ref="E4:E7"/>
    <mergeCell ref="H6:J6"/>
    <mergeCell ref="AM4:AP4"/>
    <mergeCell ref="C4:C7"/>
    <mergeCell ref="B43:AQ43"/>
    <mergeCell ref="G5:J5"/>
    <mergeCell ref="L5:N5"/>
    <mergeCell ref="P5:R5"/>
    <mergeCell ref="T5:V5"/>
    <mergeCell ref="X5:Z5"/>
    <mergeCell ref="F5:F7"/>
    <mergeCell ref="T6:T7"/>
    <mergeCell ref="P6:P7"/>
    <mergeCell ref="X6:X7"/>
    <mergeCell ref="Y6:Y7"/>
    <mergeCell ref="L6:L7"/>
    <mergeCell ref="M6:M7"/>
    <mergeCell ref="AN5:AP5"/>
    <mergeCell ref="AN6:AN7"/>
    <mergeCell ref="AE5:AE7"/>
    <mergeCell ref="AB5:AD5"/>
    <mergeCell ref="Z6:Z7"/>
    <mergeCell ref="AD6:AD7"/>
    <mergeCell ref="B41:AQ41"/>
    <mergeCell ref="B42:AQ42"/>
    <mergeCell ref="AP6:AP7"/>
    <mergeCell ref="B44:AQ44"/>
    <mergeCell ref="AJ6:AJ7"/>
    <mergeCell ref="V6:V7"/>
    <mergeCell ref="W5:W7"/>
    <mergeCell ref="B4:B7"/>
    <mergeCell ref="N6:N7"/>
    <mergeCell ref="O5:O7"/>
    <mergeCell ref="B47:AQ47"/>
    <mergeCell ref="B48:AQ48"/>
    <mergeCell ref="B49:AQ49"/>
    <mergeCell ref="B58:AQ58"/>
    <mergeCell ref="AG6:AG7"/>
    <mergeCell ref="B50:AQ50"/>
    <mergeCell ref="B51:AQ51"/>
    <mergeCell ref="B52:AQ52"/>
    <mergeCell ref="AH6:AH7"/>
    <mergeCell ref="AC6:AC7"/>
    <mergeCell ref="B75:AQ75"/>
    <mergeCell ref="B76:V76"/>
    <mergeCell ref="G6:G7"/>
    <mergeCell ref="B70:AQ70"/>
    <mergeCell ref="B71:AQ71"/>
    <mergeCell ref="B72:AQ72"/>
    <mergeCell ref="AK6:AK7"/>
    <mergeCell ref="AL6:AL7"/>
    <mergeCell ref="AM5:AM7"/>
    <mergeCell ref="AO6:AO7"/>
    <mergeCell ref="B73:AQ73"/>
    <mergeCell ref="B66:AQ66"/>
    <mergeCell ref="B67:AQ67"/>
    <mergeCell ref="B68:AQ68"/>
    <mergeCell ref="B69:AQ69"/>
    <mergeCell ref="B74:AQ74"/>
    <mergeCell ref="B64:AQ64"/>
    <mergeCell ref="B65:AQ65"/>
    <mergeCell ref="AF6:AF7"/>
    <mergeCell ref="AI5:AI7"/>
    <mergeCell ref="AA5:AA7"/>
    <mergeCell ref="AB6:AB7"/>
    <mergeCell ref="B53:AQ53"/>
    <mergeCell ref="B46:AQ46"/>
    <mergeCell ref="AJ5:AL5"/>
    <mergeCell ref="Q6:Q7"/>
    <mergeCell ref="B45:AQ45"/>
    <mergeCell ref="B60:AQ60"/>
    <mergeCell ref="B62:AQ62"/>
    <mergeCell ref="B63:AQ63"/>
    <mergeCell ref="B61:AQ61"/>
    <mergeCell ref="B54:AQ54"/>
    <mergeCell ref="B55:AQ55"/>
    <mergeCell ref="B56:AQ56"/>
    <mergeCell ref="B57:AQ57"/>
    <mergeCell ref="B59:AQ59"/>
  </mergeCells>
  <printOptions horizontalCentered="1"/>
  <pageMargins left="0.235416666666667" right="0.235416666666667" top="0.747916666666667" bottom="0.747916666666667" header="0.313888888888889" footer="0.313888888888889"/>
  <pageSetup fitToHeight="0" fitToWidth="1" horizontalDpi="600" verticalDpi="600" orientation="landscape" paperSize="9" scale="45"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sheetPr>
    <tabColor rgb="FF0070C0"/>
    <pageSetUpPr fitToPage="1"/>
  </sheetPr>
  <dimension ref="A1:AP398"/>
  <sheetViews>
    <sheetView zoomScale="85" zoomScaleNormal="85" zoomScalePageLayoutView="0" workbookViewId="0" topLeftCell="A1">
      <pane xSplit="2" ySplit="8" topLeftCell="C53" activePane="bottomRight" state="frozen"/>
      <selection pane="topLeft" activeCell="A1" sqref="A1"/>
      <selection pane="topRight" activeCell="A1" sqref="A1"/>
      <selection pane="bottomLeft" activeCell="A1" sqref="A1"/>
      <selection pane="bottomRight" activeCell="C21" sqref="C21"/>
    </sheetView>
  </sheetViews>
  <sheetFormatPr defaultColWidth="9.00390625" defaultRowHeight="15.75"/>
  <cols>
    <col min="1" max="1" width="4.50390625" style="28" customWidth="1"/>
    <col min="2" max="2" width="18.625" style="29" customWidth="1"/>
    <col min="3" max="3" width="5.25390625" style="30" customWidth="1"/>
    <col min="4" max="4" width="5.375" style="30" customWidth="1"/>
    <col min="5" max="5" width="5.25390625" style="30" customWidth="1"/>
    <col min="6" max="6" width="5.875" style="30" customWidth="1"/>
    <col min="7" max="17" width="5.875" style="31" customWidth="1"/>
    <col min="18" max="18" width="6.00390625" style="31" customWidth="1"/>
    <col min="19" max="20" width="5.875" style="31" customWidth="1"/>
    <col min="21" max="21" width="7.125" style="31" customWidth="1"/>
    <col min="22" max="27" width="5.875" style="31" customWidth="1"/>
    <col min="28" max="28" width="6.50390625" style="31" customWidth="1"/>
    <col min="29" max="29" width="5.875" style="31" customWidth="1"/>
    <col min="30" max="30" width="7.50390625" style="31" customWidth="1"/>
    <col min="31" max="16384" width="9.00390625" style="32" customWidth="1"/>
  </cols>
  <sheetData>
    <row r="1" spans="1:42" ht="20.25">
      <c r="A1" s="33" t="s">
        <v>338</v>
      </c>
      <c r="B1"/>
      <c r="C1"/>
      <c r="D1"/>
      <c r="E1"/>
      <c r="F1"/>
      <c r="G1"/>
      <c r="H1"/>
      <c r="I1"/>
      <c r="J1"/>
      <c r="K1"/>
      <c r="L1"/>
      <c r="M1"/>
      <c r="N1"/>
      <c r="O1"/>
      <c r="P1"/>
      <c r="Q1"/>
      <c r="R1"/>
      <c r="S1"/>
      <c r="T1"/>
      <c r="U1"/>
      <c r="V1"/>
      <c r="W1"/>
      <c r="X1"/>
      <c r="Y1"/>
      <c r="Z1"/>
      <c r="AA1"/>
      <c r="AB1"/>
      <c r="AC1"/>
      <c r="AD1" s="55" t="s">
        <v>211</v>
      </c>
      <c r="AE1" s="57"/>
      <c r="AF1" s="58"/>
      <c r="AG1" s="58"/>
      <c r="AH1" s="58"/>
      <c r="AI1" s="58"/>
      <c r="AJ1" s="58"/>
      <c r="AK1" s="58"/>
      <c r="AL1" s="58"/>
      <c r="AM1" s="58"/>
      <c r="AN1" s="58"/>
      <c r="AO1" s="58"/>
      <c r="AP1" s="58"/>
    </row>
    <row r="2" spans="1:30" s="24" customFormat="1" ht="15.75">
      <c r="A2" s="1517" t="s">
        <v>339</v>
      </c>
      <c r="B2" s="1517"/>
      <c r="C2" s="1517"/>
      <c r="D2" s="1517"/>
      <c r="E2" s="1517"/>
      <c r="F2" s="1517"/>
      <c r="G2" s="1517"/>
      <c r="H2" s="1517"/>
      <c r="I2" s="1517"/>
      <c r="J2" s="1517"/>
      <c r="K2" s="1517"/>
      <c r="L2" s="1517"/>
      <c r="M2" s="1517"/>
      <c r="N2" s="1517"/>
      <c r="O2" s="1517"/>
      <c r="P2" s="1517"/>
      <c r="Q2" s="1517"/>
      <c r="R2" s="1517"/>
      <c r="S2" s="1517"/>
      <c r="T2" s="1517"/>
      <c r="U2" s="1517"/>
      <c r="V2" s="1517"/>
      <c r="W2" s="1517"/>
      <c r="X2" s="1517"/>
      <c r="Y2" s="1517"/>
      <c r="Z2" s="1517"/>
      <c r="AA2" s="1517"/>
      <c r="AB2" s="1517"/>
      <c r="AC2" s="1517"/>
      <c r="AD2" s="1517"/>
    </row>
    <row r="3" spans="1:30" s="25" customFormat="1" ht="15.75">
      <c r="A3" s="34"/>
      <c r="B3" s="34"/>
      <c r="C3" s="34"/>
      <c r="D3" s="34"/>
      <c r="E3" s="34"/>
      <c r="F3" s="34"/>
      <c r="G3" s="34"/>
      <c r="H3" s="34"/>
      <c r="I3" s="34"/>
      <c r="J3" s="34"/>
      <c r="K3" s="34"/>
      <c r="L3" s="34"/>
      <c r="M3" s="34"/>
      <c r="N3" s="34"/>
      <c r="O3" s="34"/>
      <c r="P3" s="34"/>
      <c r="Q3" s="34"/>
      <c r="R3" s="34"/>
      <c r="S3" s="34"/>
      <c r="T3" s="34"/>
      <c r="U3" s="34"/>
      <c r="V3" s="34"/>
      <c r="W3" s="34"/>
      <c r="X3" s="34"/>
      <c r="Y3" s="34"/>
      <c r="Z3" s="34"/>
      <c r="AA3" s="1518" t="s">
        <v>270</v>
      </c>
      <c r="AB3" s="1518"/>
      <c r="AC3" s="1518"/>
      <c r="AD3" s="1518"/>
    </row>
    <row r="4" spans="1:30" s="25" customFormat="1" ht="35.25" customHeight="1">
      <c r="A4" s="1510" t="s">
        <v>2</v>
      </c>
      <c r="B4" s="1510" t="s">
        <v>340</v>
      </c>
      <c r="C4" s="1510" t="s">
        <v>272</v>
      </c>
      <c r="D4" s="1510" t="s">
        <v>273</v>
      </c>
      <c r="E4" s="1510" t="s">
        <v>274</v>
      </c>
      <c r="F4" s="1510" t="s">
        <v>275</v>
      </c>
      <c r="G4" s="1510"/>
      <c r="H4" s="1510"/>
      <c r="I4" s="1510" t="s">
        <v>341</v>
      </c>
      <c r="J4" s="1510"/>
      <c r="K4" s="1510"/>
      <c r="L4" s="1510" t="s">
        <v>342</v>
      </c>
      <c r="M4" s="1510"/>
      <c r="N4" s="1510" t="s">
        <v>343</v>
      </c>
      <c r="O4" s="1510"/>
      <c r="P4" s="1510" t="s">
        <v>344</v>
      </c>
      <c r="Q4" s="1510"/>
      <c r="R4" s="1510" t="s">
        <v>345</v>
      </c>
      <c r="S4" s="1510"/>
      <c r="T4" s="1510" t="s">
        <v>346</v>
      </c>
      <c r="U4" s="1510"/>
      <c r="V4" s="1510"/>
      <c r="W4" s="1510"/>
      <c r="X4" s="1510" t="s">
        <v>347</v>
      </c>
      <c r="Y4" s="1510"/>
      <c r="Z4" s="1510"/>
      <c r="AA4" s="1510"/>
      <c r="AB4" s="1510" t="s">
        <v>348</v>
      </c>
      <c r="AC4" s="1510"/>
      <c r="AD4" s="1510" t="s">
        <v>284</v>
      </c>
    </row>
    <row r="5" spans="1:30" s="26" customFormat="1" ht="67.5" customHeight="1">
      <c r="A5" s="1510"/>
      <c r="B5" s="1510"/>
      <c r="C5" s="1510"/>
      <c r="D5" s="1510"/>
      <c r="E5" s="1510"/>
      <c r="F5" s="1510"/>
      <c r="G5" s="1510"/>
      <c r="H5" s="1510"/>
      <c r="I5" s="1510"/>
      <c r="J5" s="1510"/>
      <c r="K5" s="1510"/>
      <c r="L5" s="1510"/>
      <c r="M5" s="1510"/>
      <c r="N5" s="1510"/>
      <c r="O5" s="1510"/>
      <c r="P5" s="1510"/>
      <c r="Q5" s="1510"/>
      <c r="R5" s="1510"/>
      <c r="S5" s="1510"/>
      <c r="T5" s="1510" t="s">
        <v>349</v>
      </c>
      <c r="U5" s="1510"/>
      <c r="V5" s="1510" t="s">
        <v>350</v>
      </c>
      <c r="W5" s="1510"/>
      <c r="X5" s="1510" t="s">
        <v>351</v>
      </c>
      <c r="Y5" s="1510"/>
      <c r="Z5" s="1510" t="s">
        <v>352</v>
      </c>
      <c r="AA5" s="1510"/>
      <c r="AB5" s="1510"/>
      <c r="AC5" s="1510"/>
      <c r="AD5" s="1510"/>
    </row>
    <row r="6" spans="1:30" s="26" customFormat="1" ht="30" customHeight="1">
      <c r="A6" s="1510"/>
      <c r="B6" s="1510"/>
      <c r="C6" s="1510"/>
      <c r="D6" s="1510"/>
      <c r="E6" s="1510"/>
      <c r="F6" s="1510" t="s">
        <v>285</v>
      </c>
      <c r="G6" s="1510" t="s">
        <v>286</v>
      </c>
      <c r="H6" s="1510" t="s">
        <v>353</v>
      </c>
      <c r="I6" s="1510" t="s">
        <v>285</v>
      </c>
      <c r="J6" s="1510" t="s">
        <v>286</v>
      </c>
      <c r="K6" s="1510" t="s">
        <v>353</v>
      </c>
      <c r="L6" s="1510" t="s">
        <v>287</v>
      </c>
      <c r="M6" s="1510" t="s">
        <v>354</v>
      </c>
      <c r="N6" s="1510" t="s">
        <v>287</v>
      </c>
      <c r="O6" s="1510" t="s">
        <v>354</v>
      </c>
      <c r="P6" s="1510" t="s">
        <v>287</v>
      </c>
      <c r="Q6" s="1510" t="s">
        <v>354</v>
      </c>
      <c r="R6" s="1510" t="s">
        <v>287</v>
      </c>
      <c r="S6" s="1510" t="s">
        <v>354</v>
      </c>
      <c r="T6" s="1510" t="s">
        <v>287</v>
      </c>
      <c r="U6" s="1510" t="s">
        <v>354</v>
      </c>
      <c r="V6" s="1510" t="s">
        <v>287</v>
      </c>
      <c r="W6" s="1510" t="s">
        <v>354</v>
      </c>
      <c r="X6" s="1510" t="s">
        <v>287</v>
      </c>
      <c r="Y6" s="1510" t="s">
        <v>354</v>
      </c>
      <c r="Z6" s="1510" t="s">
        <v>287</v>
      </c>
      <c r="AA6" s="1510" t="s">
        <v>354</v>
      </c>
      <c r="AB6" s="1510" t="s">
        <v>287</v>
      </c>
      <c r="AC6" s="1510" t="s">
        <v>354</v>
      </c>
      <c r="AD6" s="1510"/>
    </row>
    <row r="7" spans="1:30" s="26" customFormat="1" ht="69" customHeight="1">
      <c r="A7" s="1510"/>
      <c r="B7" s="1510"/>
      <c r="C7" s="1510"/>
      <c r="D7" s="1510"/>
      <c r="E7" s="1510"/>
      <c r="F7" s="1510"/>
      <c r="G7" s="1510"/>
      <c r="H7" s="1510"/>
      <c r="I7" s="1510"/>
      <c r="J7" s="1510"/>
      <c r="K7" s="1510"/>
      <c r="L7" s="1510"/>
      <c r="M7" s="1510"/>
      <c r="N7" s="1510"/>
      <c r="O7" s="1510"/>
      <c r="P7" s="1510"/>
      <c r="Q7" s="1510"/>
      <c r="R7" s="1510"/>
      <c r="S7" s="1510"/>
      <c r="T7" s="1510"/>
      <c r="U7" s="1510"/>
      <c r="V7" s="1510"/>
      <c r="W7" s="1510"/>
      <c r="X7" s="1510"/>
      <c r="Y7" s="1510"/>
      <c r="Z7" s="1510"/>
      <c r="AA7" s="1510"/>
      <c r="AB7" s="1510"/>
      <c r="AC7" s="1510"/>
      <c r="AD7" s="1510"/>
    </row>
    <row r="8" spans="1:30" s="26" customFormat="1" ht="30.75" customHeight="1">
      <c r="A8" s="7">
        <v>1</v>
      </c>
      <c r="B8" s="7">
        <v>2</v>
      </c>
      <c r="C8" s="7">
        <v>3</v>
      </c>
      <c r="D8" s="7">
        <v>4</v>
      </c>
      <c r="E8" s="7">
        <v>5</v>
      </c>
      <c r="F8" s="7">
        <v>6</v>
      </c>
      <c r="G8" s="7">
        <v>7</v>
      </c>
      <c r="H8" s="7">
        <v>8</v>
      </c>
      <c r="I8" s="7">
        <v>9</v>
      </c>
      <c r="J8" s="7">
        <v>10</v>
      </c>
      <c r="K8" s="7">
        <v>11</v>
      </c>
      <c r="L8" s="7">
        <v>12</v>
      </c>
      <c r="M8" s="7">
        <v>13</v>
      </c>
      <c r="N8" s="7">
        <v>14</v>
      </c>
      <c r="O8" s="7">
        <v>15</v>
      </c>
      <c r="P8" s="7">
        <v>16</v>
      </c>
      <c r="Q8" s="7">
        <v>17</v>
      </c>
      <c r="R8" s="7">
        <v>18</v>
      </c>
      <c r="S8" s="7">
        <v>19</v>
      </c>
      <c r="T8" s="7">
        <v>20</v>
      </c>
      <c r="U8" s="7">
        <v>21</v>
      </c>
      <c r="V8" s="7">
        <v>22</v>
      </c>
      <c r="W8" s="7">
        <v>23</v>
      </c>
      <c r="X8" s="7">
        <v>24</v>
      </c>
      <c r="Y8" s="7">
        <v>25</v>
      </c>
      <c r="Z8" s="7">
        <v>26</v>
      </c>
      <c r="AA8" s="7">
        <v>27</v>
      </c>
      <c r="AB8" s="7">
        <v>28</v>
      </c>
      <c r="AC8" s="7">
        <v>29</v>
      </c>
      <c r="AD8" s="7">
        <v>30</v>
      </c>
    </row>
    <row r="9" spans="1:30" ht="32.25" customHeight="1">
      <c r="A9" s="35"/>
      <c r="B9" s="36" t="s">
        <v>293</v>
      </c>
      <c r="C9" s="37"/>
      <c r="D9" s="37"/>
      <c r="E9" s="37"/>
      <c r="F9" s="37"/>
      <c r="G9" s="38"/>
      <c r="H9" s="38"/>
      <c r="I9" s="38"/>
      <c r="J9" s="38"/>
      <c r="K9" s="38"/>
      <c r="L9" s="38"/>
      <c r="M9" s="38"/>
      <c r="N9" s="38"/>
      <c r="O9" s="38"/>
      <c r="P9" s="38"/>
      <c r="Q9" s="38"/>
      <c r="R9" s="38"/>
      <c r="S9" s="38"/>
      <c r="T9" s="38"/>
      <c r="U9" s="38"/>
      <c r="V9" s="38"/>
      <c r="W9" s="38"/>
      <c r="X9" s="38"/>
      <c r="Y9" s="38"/>
      <c r="Z9" s="38"/>
      <c r="AA9" s="38"/>
      <c r="AB9" s="38"/>
      <c r="AC9" s="38"/>
      <c r="AD9" s="38"/>
    </row>
    <row r="10" spans="1:30" s="27" customFormat="1" ht="36" customHeight="1">
      <c r="A10" s="39" t="s">
        <v>104</v>
      </c>
      <c r="B10" s="40" t="s">
        <v>355</v>
      </c>
      <c r="C10" s="41"/>
      <c r="D10" s="41"/>
      <c r="E10" s="41"/>
      <c r="F10" s="41"/>
      <c r="G10" s="42"/>
      <c r="H10" s="42"/>
      <c r="I10" s="42"/>
      <c r="J10" s="42"/>
      <c r="K10" s="42"/>
      <c r="L10" s="42"/>
      <c r="M10" s="42"/>
      <c r="N10" s="42"/>
      <c r="O10" s="42"/>
      <c r="P10" s="42"/>
      <c r="Q10" s="42"/>
      <c r="R10" s="42"/>
      <c r="S10" s="42"/>
      <c r="T10" s="42"/>
      <c r="U10" s="42"/>
      <c r="V10" s="42"/>
      <c r="W10" s="42"/>
      <c r="X10" s="42"/>
      <c r="Y10" s="42"/>
      <c r="Z10" s="42"/>
      <c r="AA10" s="42"/>
      <c r="AB10" s="42"/>
      <c r="AC10" s="42"/>
      <c r="AD10" s="42"/>
    </row>
    <row r="11" spans="1:30" ht="24.75" customHeight="1">
      <c r="A11" s="43">
        <v>1</v>
      </c>
      <c r="B11" s="44" t="s">
        <v>295</v>
      </c>
      <c r="C11" s="45"/>
      <c r="D11" s="45"/>
      <c r="E11" s="45"/>
      <c r="F11" s="45"/>
      <c r="G11" s="46"/>
      <c r="H11" s="46"/>
      <c r="I11" s="46"/>
      <c r="J11" s="46"/>
      <c r="K11" s="46"/>
      <c r="L11" s="46"/>
      <c r="M11" s="46"/>
      <c r="N11" s="46"/>
      <c r="O11" s="46"/>
      <c r="P11" s="46"/>
      <c r="Q11" s="46"/>
      <c r="R11" s="46"/>
      <c r="S11" s="46"/>
      <c r="T11" s="46"/>
      <c r="U11" s="46"/>
      <c r="V11" s="46"/>
      <c r="W11" s="46"/>
      <c r="X11" s="46"/>
      <c r="Y11" s="46"/>
      <c r="Z11" s="46"/>
      <c r="AA11" s="46"/>
      <c r="AB11" s="46"/>
      <c r="AC11" s="46"/>
      <c r="AD11" s="46"/>
    </row>
    <row r="12" spans="1:30" ht="24.75" customHeight="1">
      <c r="A12" s="43">
        <v>2</v>
      </c>
      <c r="B12" s="44" t="s">
        <v>295</v>
      </c>
      <c r="C12" s="45"/>
      <c r="D12" s="45"/>
      <c r="E12" s="45"/>
      <c r="F12" s="45"/>
      <c r="G12" s="46"/>
      <c r="H12" s="46"/>
      <c r="I12" s="46"/>
      <c r="J12" s="46"/>
      <c r="K12" s="46"/>
      <c r="L12" s="46"/>
      <c r="M12" s="46"/>
      <c r="N12" s="46"/>
      <c r="O12" s="46"/>
      <c r="P12" s="46"/>
      <c r="Q12" s="46"/>
      <c r="R12" s="46"/>
      <c r="S12" s="46"/>
      <c r="T12" s="46"/>
      <c r="U12" s="46"/>
      <c r="V12" s="46"/>
      <c r="W12" s="46"/>
      <c r="X12" s="46"/>
      <c r="Y12" s="46"/>
      <c r="Z12" s="46"/>
      <c r="AA12" s="46"/>
      <c r="AB12" s="46"/>
      <c r="AC12" s="46"/>
      <c r="AD12" s="46"/>
    </row>
    <row r="13" spans="1:30" ht="24.75" customHeight="1">
      <c r="A13" s="43"/>
      <c r="B13" s="116" t="s">
        <v>296</v>
      </c>
      <c r="C13" s="45"/>
      <c r="D13" s="45"/>
      <c r="E13" s="45"/>
      <c r="F13" s="45"/>
      <c r="G13" s="46"/>
      <c r="H13" s="46"/>
      <c r="I13" s="46"/>
      <c r="J13" s="46"/>
      <c r="K13" s="46"/>
      <c r="L13" s="46"/>
      <c r="M13" s="46"/>
      <c r="N13" s="46"/>
      <c r="O13" s="46"/>
      <c r="P13" s="46"/>
      <c r="Q13" s="46"/>
      <c r="R13" s="46"/>
      <c r="S13" s="46"/>
      <c r="T13" s="46"/>
      <c r="U13" s="46"/>
      <c r="V13" s="46"/>
      <c r="W13" s="46"/>
      <c r="X13" s="46"/>
      <c r="Y13" s="46"/>
      <c r="Z13" s="46"/>
      <c r="AA13" s="46"/>
      <c r="AB13" s="46"/>
      <c r="AC13" s="46"/>
      <c r="AD13" s="46"/>
    </row>
    <row r="14" spans="1:30" s="27" customFormat="1" ht="33.75" customHeight="1">
      <c r="A14" s="39" t="s">
        <v>114</v>
      </c>
      <c r="B14" s="47" t="s">
        <v>356</v>
      </c>
      <c r="C14" s="41"/>
      <c r="D14" s="41"/>
      <c r="E14" s="41"/>
      <c r="F14" s="41"/>
      <c r="G14" s="42"/>
      <c r="H14" s="42"/>
      <c r="I14" s="42"/>
      <c r="J14" s="42"/>
      <c r="K14" s="42"/>
      <c r="L14" s="42"/>
      <c r="M14" s="42"/>
      <c r="N14" s="42"/>
      <c r="O14" s="42"/>
      <c r="P14" s="42"/>
      <c r="Q14" s="42"/>
      <c r="R14" s="42"/>
      <c r="S14" s="42"/>
      <c r="T14" s="42"/>
      <c r="U14" s="42"/>
      <c r="V14" s="42"/>
      <c r="W14" s="42"/>
      <c r="X14" s="42"/>
      <c r="Y14" s="42"/>
      <c r="Z14" s="42"/>
      <c r="AA14" s="42"/>
      <c r="AB14" s="42"/>
      <c r="AC14" s="42"/>
      <c r="AD14" s="42"/>
    </row>
    <row r="15" spans="1:30" ht="24.75" customHeight="1">
      <c r="A15" s="43">
        <v>1</v>
      </c>
      <c r="B15" s="44" t="s">
        <v>295</v>
      </c>
      <c r="C15" s="45"/>
      <c r="D15" s="45"/>
      <c r="E15" s="45"/>
      <c r="F15" s="45"/>
      <c r="G15" s="46"/>
      <c r="H15" s="46"/>
      <c r="I15" s="46"/>
      <c r="J15" s="46"/>
      <c r="K15" s="46"/>
      <c r="L15" s="46"/>
      <c r="M15" s="46"/>
      <c r="N15" s="46"/>
      <c r="O15" s="46"/>
      <c r="P15" s="46"/>
      <c r="Q15" s="46"/>
      <c r="R15" s="46"/>
      <c r="S15" s="46"/>
      <c r="T15" s="46"/>
      <c r="U15" s="46"/>
      <c r="V15" s="46"/>
      <c r="W15" s="46"/>
      <c r="X15" s="46"/>
      <c r="Y15" s="46"/>
      <c r="Z15" s="46"/>
      <c r="AA15" s="46"/>
      <c r="AB15" s="46"/>
      <c r="AC15" s="46"/>
      <c r="AD15" s="46"/>
    </row>
    <row r="16" spans="1:30" ht="24.75" customHeight="1">
      <c r="A16" s="43">
        <v>2</v>
      </c>
      <c r="B16" s="44" t="s">
        <v>295</v>
      </c>
      <c r="C16" s="45"/>
      <c r="D16" s="45"/>
      <c r="E16" s="45"/>
      <c r="F16" s="45"/>
      <c r="G16" s="46"/>
      <c r="H16" s="46"/>
      <c r="I16" s="46"/>
      <c r="J16" s="46"/>
      <c r="K16" s="46"/>
      <c r="L16" s="46"/>
      <c r="M16" s="46"/>
      <c r="N16" s="46"/>
      <c r="O16" s="46"/>
      <c r="P16" s="46"/>
      <c r="Q16" s="46"/>
      <c r="R16" s="46"/>
      <c r="S16" s="46"/>
      <c r="T16" s="46"/>
      <c r="U16" s="46"/>
      <c r="V16" s="46"/>
      <c r="W16" s="46"/>
      <c r="X16" s="46"/>
      <c r="Y16" s="46"/>
      <c r="Z16" s="46"/>
      <c r="AA16" s="46"/>
      <c r="AB16" s="46"/>
      <c r="AC16" s="46"/>
      <c r="AD16" s="46"/>
    </row>
    <row r="17" spans="1:30" ht="24.75" customHeight="1">
      <c r="A17" s="43"/>
      <c r="B17" s="116" t="s">
        <v>296</v>
      </c>
      <c r="C17" s="45"/>
      <c r="D17" s="45"/>
      <c r="E17" s="45"/>
      <c r="F17" s="45"/>
      <c r="G17" s="46"/>
      <c r="H17" s="46"/>
      <c r="I17" s="46"/>
      <c r="J17" s="46"/>
      <c r="K17" s="46"/>
      <c r="L17" s="46"/>
      <c r="M17" s="46"/>
      <c r="N17" s="46"/>
      <c r="O17" s="46"/>
      <c r="P17" s="46"/>
      <c r="Q17" s="46"/>
      <c r="R17" s="46"/>
      <c r="S17" s="46"/>
      <c r="T17" s="46"/>
      <c r="U17" s="46"/>
      <c r="V17" s="46"/>
      <c r="W17" s="46"/>
      <c r="X17" s="46"/>
      <c r="Y17" s="46"/>
      <c r="Z17" s="46"/>
      <c r="AA17" s="46"/>
      <c r="AB17" s="46"/>
      <c r="AC17" s="46"/>
      <c r="AD17" s="46"/>
    </row>
    <row r="18" spans="1:30" ht="0.75" customHeight="1">
      <c r="A18" s="48"/>
      <c r="B18" s="49"/>
      <c r="C18" s="50"/>
      <c r="D18" s="50"/>
      <c r="E18" s="50"/>
      <c r="F18" s="50"/>
      <c r="G18" s="51"/>
      <c r="H18" s="51"/>
      <c r="I18" s="51"/>
      <c r="J18" s="51"/>
      <c r="K18" s="51"/>
      <c r="L18" s="51"/>
      <c r="M18" s="51"/>
      <c r="N18" s="51"/>
      <c r="O18" s="51"/>
      <c r="P18" s="51"/>
      <c r="Q18" s="51"/>
      <c r="R18" s="51"/>
      <c r="S18" s="51"/>
      <c r="T18" s="51"/>
      <c r="U18" s="51"/>
      <c r="V18" s="51"/>
      <c r="W18" s="51"/>
      <c r="X18" s="51"/>
      <c r="Y18" s="51"/>
      <c r="Z18" s="51"/>
      <c r="AA18" s="51"/>
      <c r="AB18" s="51"/>
      <c r="AC18" s="51"/>
      <c r="AD18" s="59"/>
    </row>
    <row r="19" spans="1:29" ht="0.75" customHeight="1">
      <c r="A19" s="52"/>
      <c r="B19" s="53"/>
      <c r="C19" s="54"/>
      <c r="D19" s="54"/>
      <c r="E19" s="54"/>
      <c r="F19" s="54"/>
      <c r="G19" s="55"/>
      <c r="H19" s="55"/>
      <c r="I19" s="55"/>
      <c r="J19" s="55"/>
      <c r="K19" s="55"/>
      <c r="L19" s="55"/>
      <c r="M19" s="55"/>
      <c r="N19" s="55"/>
      <c r="O19" s="55"/>
      <c r="P19" s="55"/>
      <c r="Q19" s="55"/>
      <c r="R19" s="55"/>
      <c r="S19" s="55"/>
      <c r="T19" s="55"/>
      <c r="U19" s="55"/>
      <c r="V19" s="55"/>
      <c r="W19" s="55"/>
      <c r="X19" s="55"/>
      <c r="Y19" s="55"/>
      <c r="Z19" s="55"/>
      <c r="AA19" s="55"/>
      <c r="AB19" s="55"/>
      <c r="AC19" s="55"/>
    </row>
    <row r="20" spans="1:29" ht="0.75" customHeight="1">
      <c r="A20" s="52"/>
      <c r="B20" s="53"/>
      <c r="C20" s="54"/>
      <c r="D20" s="54"/>
      <c r="E20" s="54"/>
      <c r="F20" s="54"/>
      <c r="G20" s="55"/>
      <c r="H20" s="55"/>
      <c r="I20" s="55"/>
      <c r="J20" s="55"/>
      <c r="K20" s="55"/>
      <c r="L20" s="55"/>
      <c r="M20" s="55"/>
      <c r="N20" s="55"/>
      <c r="O20" s="55"/>
      <c r="P20" s="55"/>
      <c r="Q20" s="55"/>
      <c r="R20" s="55"/>
      <c r="S20" s="55"/>
      <c r="T20" s="55"/>
      <c r="U20" s="55"/>
      <c r="V20" s="55"/>
      <c r="W20" s="55"/>
      <c r="X20" s="55"/>
      <c r="Y20" s="55"/>
      <c r="Z20" s="55"/>
      <c r="AA20" s="55"/>
      <c r="AB20" s="55"/>
      <c r="AC20" s="55"/>
    </row>
    <row r="21" spans="1:29" ht="0.75" customHeight="1">
      <c r="A21" s="52"/>
      <c r="B21" s="53"/>
      <c r="C21" s="54"/>
      <c r="D21" s="54"/>
      <c r="E21" s="54"/>
      <c r="F21" s="54"/>
      <c r="G21" s="55"/>
      <c r="H21" s="55"/>
      <c r="I21" s="55"/>
      <c r="J21" s="55"/>
      <c r="K21" s="55"/>
      <c r="L21" s="55"/>
      <c r="M21" s="55"/>
      <c r="N21" s="55"/>
      <c r="O21" s="55"/>
      <c r="P21" s="55"/>
      <c r="Q21" s="55"/>
      <c r="R21" s="55"/>
      <c r="S21" s="55"/>
      <c r="T21" s="55"/>
      <c r="U21" s="55"/>
      <c r="V21" s="55"/>
      <c r="W21" s="55"/>
      <c r="X21" s="55"/>
      <c r="Y21" s="55"/>
      <c r="Z21" s="55"/>
      <c r="AA21" s="55"/>
      <c r="AB21" s="55"/>
      <c r="AC21" s="55"/>
    </row>
    <row r="22" spans="1:29" ht="0.75" customHeight="1">
      <c r="A22" s="52"/>
      <c r="B22" s="53"/>
      <c r="C22" s="54"/>
      <c r="D22" s="54"/>
      <c r="E22" s="54"/>
      <c r="F22" s="54"/>
      <c r="G22" s="55"/>
      <c r="H22" s="55"/>
      <c r="I22" s="55"/>
      <c r="J22" s="55"/>
      <c r="K22" s="55"/>
      <c r="L22" s="55"/>
      <c r="M22" s="55"/>
      <c r="N22" s="55"/>
      <c r="O22" s="55"/>
      <c r="P22" s="55"/>
      <c r="Q22" s="55"/>
      <c r="R22" s="55"/>
      <c r="S22" s="55"/>
      <c r="T22" s="55"/>
      <c r="U22" s="55"/>
      <c r="V22" s="55"/>
      <c r="W22" s="55"/>
      <c r="X22" s="55"/>
      <c r="Y22" s="55"/>
      <c r="Z22" s="55"/>
      <c r="AA22" s="55"/>
      <c r="AB22" s="55"/>
      <c r="AC22" s="55"/>
    </row>
    <row r="23" spans="1:29" ht="0.75" customHeight="1">
      <c r="A23" s="52"/>
      <c r="B23" s="53"/>
      <c r="C23" s="54"/>
      <c r="D23" s="54"/>
      <c r="E23" s="54"/>
      <c r="F23" s="54"/>
      <c r="G23" s="55"/>
      <c r="H23" s="55"/>
      <c r="I23" s="55"/>
      <c r="J23" s="55"/>
      <c r="K23" s="55"/>
      <c r="L23" s="55"/>
      <c r="M23" s="55"/>
      <c r="N23" s="55"/>
      <c r="O23" s="55"/>
      <c r="P23" s="55"/>
      <c r="Q23" s="55"/>
      <c r="R23" s="55"/>
      <c r="S23" s="55"/>
      <c r="T23" s="55"/>
      <c r="U23" s="55"/>
      <c r="V23" s="55"/>
      <c r="W23" s="55"/>
      <c r="X23" s="55"/>
      <c r="Y23" s="55"/>
      <c r="Z23" s="55"/>
      <c r="AA23" s="55"/>
      <c r="AB23" s="55"/>
      <c r="AC23" s="55"/>
    </row>
    <row r="24" spans="1:29" ht="0.75" customHeight="1">
      <c r="A24" s="52"/>
      <c r="B24" s="53"/>
      <c r="C24" s="54"/>
      <c r="D24" s="54"/>
      <c r="E24" s="54"/>
      <c r="F24" s="54"/>
      <c r="G24" s="55"/>
      <c r="H24" s="55"/>
      <c r="I24" s="55"/>
      <c r="J24" s="55"/>
      <c r="K24" s="55"/>
      <c r="L24" s="55"/>
      <c r="M24" s="55"/>
      <c r="N24" s="55"/>
      <c r="O24" s="55"/>
      <c r="P24" s="55"/>
      <c r="Q24" s="55"/>
      <c r="R24" s="55"/>
      <c r="S24" s="55"/>
      <c r="T24" s="55"/>
      <c r="U24" s="55"/>
      <c r="V24" s="55"/>
      <c r="W24" s="55"/>
      <c r="X24" s="55"/>
      <c r="Y24" s="55"/>
      <c r="Z24" s="55"/>
      <c r="AA24" s="55"/>
      <c r="AB24" s="55"/>
      <c r="AC24" s="55"/>
    </row>
    <row r="25" spans="1:29" ht="0.75" customHeight="1">
      <c r="A25" s="52"/>
      <c r="B25" s="53"/>
      <c r="C25" s="54"/>
      <c r="D25" s="54"/>
      <c r="E25" s="54"/>
      <c r="F25" s="54"/>
      <c r="G25" s="55"/>
      <c r="H25" s="55"/>
      <c r="I25" s="55"/>
      <c r="J25" s="55"/>
      <c r="K25" s="55"/>
      <c r="L25" s="55"/>
      <c r="M25" s="55"/>
      <c r="N25" s="55"/>
      <c r="O25" s="55"/>
      <c r="P25" s="55"/>
      <c r="Q25" s="55"/>
      <c r="R25" s="55"/>
      <c r="S25" s="55"/>
      <c r="T25" s="55"/>
      <c r="U25" s="55"/>
      <c r="V25" s="55"/>
      <c r="W25" s="55"/>
      <c r="X25" s="55"/>
      <c r="Y25" s="55"/>
      <c r="Z25" s="55"/>
      <c r="AA25" s="55"/>
      <c r="AB25" s="55"/>
      <c r="AC25" s="55"/>
    </row>
    <row r="26" spans="1:29" ht="0.75" customHeight="1">
      <c r="A26" s="52"/>
      <c r="B26" s="53"/>
      <c r="C26" s="54"/>
      <c r="D26" s="54"/>
      <c r="E26" s="54"/>
      <c r="F26" s="54"/>
      <c r="G26" s="55"/>
      <c r="H26" s="55"/>
      <c r="I26" s="55"/>
      <c r="J26" s="55"/>
      <c r="K26" s="55"/>
      <c r="L26" s="55"/>
      <c r="M26" s="55"/>
      <c r="N26" s="55"/>
      <c r="O26" s="55"/>
      <c r="P26" s="55"/>
      <c r="Q26" s="55"/>
      <c r="R26" s="55"/>
      <c r="S26" s="55"/>
      <c r="T26" s="55"/>
      <c r="U26" s="55"/>
      <c r="V26" s="55"/>
      <c r="W26" s="55"/>
      <c r="X26" s="55"/>
      <c r="Y26" s="55"/>
      <c r="Z26" s="55"/>
      <c r="AA26" s="55"/>
      <c r="AB26" s="55"/>
      <c r="AC26" s="55"/>
    </row>
    <row r="27" spans="1:29" ht="0.75" customHeight="1">
      <c r="A27" s="52"/>
      <c r="B27" s="53"/>
      <c r="C27" s="54"/>
      <c r="D27" s="54"/>
      <c r="E27" s="54"/>
      <c r="F27" s="54"/>
      <c r="G27" s="55"/>
      <c r="H27" s="55"/>
      <c r="I27" s="55"/>
      <c r="J27" s="55"/>
      <c r="K27" s="55"/>
      <c r="L27" s="55"/>
      <c r="M27" s="55"/>
      <c r="N27" s="55"/>
      <c r="O27" s="55"/>
      <c r="P27" s="55"/>
      <c r="Q27" s="55"/>
      <c r="R27" s="55"/>
      <c r="S27" s="55"/>
      <c r="T27" s="55"/>
      <c r="U27" s="55"/>
      <c r="V27" s="55"/>
      <c r="W27" s="55"/>
      <c r="X27" s="55"/>
      <c r="Y27" s="55"/>
      <c r="Z27" s="55"/>
      <c r="AA27" s="55"/>
      <c r="AB27" s="55"/>
      <c r="AC27" s="55"/>
    </row>
    <row r="28" spans="1:29" ht="0.75" customHeight="1">
      <c r="A28" s="52"/>
      <c r="B28" s="53"/>
      <c r="C28" s="54"/>
      <c r="D28" s="54"/>
      <c r="E28" s="54"/>
      <c r="F28" s="54"/>
      <c r="G28" s="55"/>
      <c r="H28" s="55"/>
      <c r="I28" s="55"/>
      <c r="J28" s="55"/>
      <c r="K28" s="55"/>
      <c r="L28" s="55"/>
      <c r="M28" s="55"/>
      <c r="N28" s="55"/>
      <c r="O28" s="55"/>
      <c r="P28" s="55"/>
      <c r="Q28" s="55"/>
      <c r="R28" s="55"/>
      <c r="S28" s="55"/>
      <c r="T28" s="55"/>
      <c r="U28" s="55"/>
      <c r="V28" s="55"/>
      <c r="W28" s="55"/>
      <c r="X28" s="55"/>
      <c r="Y28" s="55"/>
      <c r="Z28" s="55"/>
      <c r="AA28" s="55"/>
      <c r="AB28" s="55"/>
      <c r="AC28" s="55"/>
    </row>
    <row r="29" spans="1:29" ht="0.75" customHeight="1">
      <c r="A29" s="52"/>
      <c r="B29" s="53"/>
      <c r="C29" s="54"/>
      <c r="D29" s="54"/>
      <c r="E29" s="54"/>
      <c r="F29" s="54"/>
      <c r="G29" s="55"/>
      <c r="H29" s="55"/>
      <c r="I29" s="55"/>
      <c r="J29" s="55"/>
      <c r="K29" s="55"/>
      <c r="L29" s="55"/>
      <c r="M29" s="55"/>
      <c r="N29" s="55"/>
      <c r="O29" s="55"/>
      <c r="P29" s="55"/>
      <c r="Q29" s="55"/>
      <c r="R29" s="55"/>
      <c r="S29" s="55"/>
      <c r="T29" s="55"/>
      <c r="U29" s="55"/>
      <c r="V29" s="55"/>
      <c r="W29" s="55"/>
      <c r="X29" s="55"/>
      <c r="Y29" s="55"/>
      <c r="Z29" s="55"/>
      <c r="AA29" s="55"/>
      <c r="AB29" s="55"/>
      <c r="AC29" s="55"/>
    </row>
    <row r="30" spans="1:29" ht="0.75" customHeight="1">
      <c r="A30" s="52"/>
      <c r="B30" s="53"/>
      <c r="C30" s="54"/>
      <c r="D30" s="54"/>
      <c r="E30" s="54"/>
      <c r="F30" s="54"/>
      <c r="G30" s="55"/>
      <c r="H30" s="55"/>
      <c r="I30" s="55"/>
      <c r="J30" s="55"/>
      <c r="K30" s="55"/>
      <c r="L30" s="55"/>
      <c r="M30" s="55"/>
      <c r="N30" s="55"/>
      <c r="O30" s="55"/>
      <c r="P30" s="55"/>
      <c r="Q30" s="55"/>
      <c r="R30" s="55"/>
      <c r="S30" s="55"/>
      <c r="T30" s="55"/>
      <c r="U30" s="55"/>
      <c r="V30" s="55"/>
      <c r="W30" s="55"/>
      <c r="X30" s="55"/>
      <c r="Y30" s="55"/>
      <c r="Z30" s="55"/>
      <c r="AA30" s="55"/>
      <c r="AB30" s="55"/>
      <c r="AC30" s="55"/>
    </row>
    <row r="31" spans="1:29" ht="24" customHeight="1">
      <c r="A31" s="52"/>
      <c r="B31" s="1516" t="s">
        <v>302</v>
      </c>
      <c r="C31" s="1516"/>
      <c r="D31" s="1516"/>
      <c r="E31" s="1516"/>
      <c r="F31" s="1516"/>
      <c r="G31" s="1516"/>
      <c r="H31" s="1516"/>
      <c r="I31" s="1516"/>
      <c r="J31" s="1516"/>
      <c r="K31" s="1516"/>
      <c r="L31" s="1516"/>
      <c r="M31" s="1516"/>
      <c r="N31" s="1516"/>
      <c r="O31" s="1516"/>
      <c r="P31" s="1516"/>
      <c r="Q31" s="1516"/>
      <c r="R31" s="1516"/>
      <c r="S31" s="1516"/>
      <c r="T31" s="56"/>
      <c r="U31" s="56"/>
      <c r="V31" s="56"/>
      <c r="W31" s="56"/>
      <c r="X31" s="56"/>
      <c r="Y31" s="56"/>
      <c r="Z31" s="56"/>
      <c r="AA31" s="56"/>
      <c r="AB31" s="55"/>
      <c r="AC31" s="55"/>
    </row>
    <row r="32" spans="1:25" s="24" customFormat="1" ht="26.25" customHeight="1">
      <c r="A32" s="52"/>
      <c r="B32" s="1515" t="s">
        <v>303</v>
      </c>
      <c r="C32" s="1515"/>
      <c r="D32" s="1515"/>
      <c r="E32" s="1515"/>
      <c r="F32" s="1515"/>
      <c r="G32" s="1515"/>
      <c r="H32" s="1515"/>
      <c r="I32" s="1515"/>
      <c r="J32" s="1515"/>
      <c r="K32" s="1515"/>
      <c r="L32" s="1515"/>
      <c r="M32" s="1515"/>
      <c r="N32" s="1515"/>
      <c r="O32" s="1515"/>
      <c r="P32" s="1515"/>
      <c r="Q32" s="1515"/>
      <c r="R32" s="1515"/>
      <c r="S32" s="1515"/>
      <c r="T32" s="55"/>
      <c r="U32" s="55"/>
      <c r="X32" s="55"/>
      <c r="Y32" s="55"/>
    </row>
    <row r="33" spans="1:25" s="24" customFormat="1" ht="27.75" customHeight="1">
      <c r="A33" s="52"/>
      <c r="B33" s="1515" t="s">
        <v>357</v>
      </c>
      <c r="C33" s="1515"/>
      <c r="D33" s="1515"/>
      <c r="E33" s="1515"/>
      <c r="F33" s="1515"/>
      <c r="G33" s="1515"/>
      <c r="H33" s="1515"/>
      <c r="I33" s="1515"/>
      <c r="J33" s="1515"/>
      <c r="K33" s="1515"/>
      <c r="L33" s="1515"/>
      <c r="M33" s="1515"/>
      <c r="N33" s="1515"/>
      <c r="O33" s="1515"/>
      <c r="P33" s="1515"/>
      <c r="Q33" s="1515"/>
      <c r="R33" s="1515"/>
      <c r="S33" s="1515"/>
      <c r="T33" s="55"/>
      <c r="U33" s="55"/>
      <c r="X33" s="55"/>
      <c r="Y33" s="55"/>
    </row>
    <row r="34" spans="1:25" s="24" customFormat="1" ht="28.5" customHeight="1">
      <c r="A34" s="52"/>
      <c r="B34" s="1515" t="s">
        <v>305</v>
      </c>
      <c r="C34" s="1515"/>
      <c r="D34" s="1515"/>
      <c r="E34" s="1515"/>
      <c r="F34" s="1515"/>
      <c r="G34" s="1515"/>
      <c r="H34" s="1515"/>
      <c r="I34" s="1515"/>
      <c r="J34" s="1515"/>
      <c r="K34" s="1515"/>
      <c r="L34" s="1515"/>
      <c r="M34" s="1515"/>
      <c r="N34" s="1515"/>
      <c r="O34" s="1515"/>
      <c r="P34" s="1515"/>
      <c r="Q34" s="1515"/>
      <c r="R34" s="1515"/>
      <c r="S34" s="1515"/>
      <c r="T34" s="55"/>
      <c r="U34" s="55"/>
      <c r="X34" s="55"/>
      <c r="Y34" s="55"/>
    </row>
    <row r="35" spans="1:25" s="24" customFormat="1" ht="27.75" customHeight="1">
      <c r="A35" s="52"/>
      <c r="B35" s="1515" t="s">
        <v>358</v>
      </c>
      <c r="C35" s="1515"/>
      <c r="D35" s="1515"/>
      <c r="E35" s="1515"/>
      <c r="F35" s="1515"/>
      <c r="G35" s="1515"/>
      <c r="H35" s="1515"/>
      <c r="I35" s="1515"/>
      <c r="J35" s="1515"/>
      <c r="K35" s="1515"/>
      <c r="L35" s="1515"/>
      <c r="M35" s="1515"/>
      <c r="N35" s="1515"/>
      <c r="O35" s="1515"/>
      <c r="P35" s="1515"/>
      <c r="Q35" s="1515"/>
      <c r="R35" s="1515"/>
      <c r="S35" s="1515"/>
      <c r="T35" s="55"/>
      <c r="U35" s="55"/>
      <c r="X35" s="55"/>
      <c r="Y35" s="55"/>
    </row>
    <row r="36" spans="1:25" s="24" customFormat="1" ht="24.75" customHeight="1">
      <c r="A36" s="52"/>
      <c r="B36" s="1515" t="s">
        <v>307</v>
      </c>
      <c r="C36" s="1515"/>
      <c r="D36" s="1515"/>
      <c r="E36" s="1515"/>
      <c r="F36" s="1515"/>
      <c r="G36" s="1515"/>
      <c r="H36" s="1515"/>
      <c r="I36" s="1515"/>
      <c r="J36" s="1515"/>
      <c r="K36" s="1515"/>
      <c r="L36" s="1515"/>
      <c r="M36" s="1515"/>
      <c r="N36" s="1515"/>
      <c r="O36" s="1515"/>
      <c r="P36" s="1515"/>
      <c r="Q36" s="1515"/>
      <c r="R36" s="1515"/>
      <c r="S36" s="1515"/>
      <c r="T36" s="55"/>
      <c r="U36" s="55"/>
      <c r="X36" s="55"/>
      <c r="Y36" s="55"/>
    </row>
    <row r="37" spans="1:25" s="24" customFormat="1" ht="29.25" customHeight="1">
      <c r="A37" s="52"/>
      <c r="B37" s="1515" t="s">
        <v>359</v>
      </c>
      <c r="C37" s="1515"/>
      <c r="D37" s="1515"/>
      <c r="E37" s="1515"/>
      <c r="F37" s="1515"/>
      <c r="G37" s="1515"/>
      <c r="H37" s="1515"/>
      <c r="I37" s="1515"/>
      <c r="J37" s="1515"/>
      <c r="K37" s="1515"/>
      <c r="L37" s="1515"/>
      <c r="M37" s="1515"/>
      <c r="N37" s="1515"/>
      <c r="O37" s="1515"/>
      <c r="P37" s="1515"/>
      <c r="Q37" s="1515"/>
      <c r="R37" s="1515"/>
      <c r="S37" s="1515"/>
      <c r="T37" s="55"/>
      <c r="U37" s="55"/>
      <c r="X37" s="55"/>
      <c r="Y37" s="55"/>
    </row>
    <row r="38" spans="1:25" s="24" customFormat="1" ht="24" customHeight="1">
      <c r="A38" s="52"/>
      <c r="B38" s="1515" t="s">
        <v>360</v>
      </c>
      <c r="C38" s="1515"/>
      <c r="D38" s="1515"/>
      <c r="E38" s="1515"/>
      <c r="F38" s="1515"/>
      <c r="G38" s="1515"/>
      <c r="H38" s="1515"/>
      <c r="I38" s="1515"/>
      <c r="J38" s="1515"/>
      <c r="K38" s="1515"/>
      <c r="L38" s="1515"/>
      <c r="M38" s="1515"/>
      <c r="N38" s="1515"/>
      <c r="O38" s="1515"/>
      <c r="P38" s="1515"/>
      <c r="Q38" s="1515"/>
      <c r="R38" s="1515"/>
      <c r="S38" s="1515"/>
      <c r="T38" s="55"/>
      <c r="U38" s="55"/>
      <c r="X38" s="55"/>
      <c r="Y38" s="55"/>
    </row>
    <row r="39" spans="1:25" s="24" customFormat="1" ht="27.75" customHeight="1">
      <c r="A39" s="52"/>
      <c r="B39" s="1515" t="s">
        <v>361</v>
      </c>
      <c r="C39" s="1515"/>
      <c r="D39" s="1515"/>
      <c r="E39" s="1515"/>
      <c r="F39" s="1515"/>
      <c r="G39" s="1515"/>
      <c r="H39" s="1515"/>
      <c r="I39" s="1515"/>
      <c r="J39" s="1515"/>
      <c r="K39" s="1515"/>
      <c r="L39" s="1515"/>
      <c r="M39" s="1515"/>
      <c r="N39" s="1515"/>
      <c r="O39" s="1515"/>
      <c r="P39" s="1515"/>
      <c r="Q39" s="1515"/>
      <c r="R39" s="1515"/>
      <c r="S39" s="1515"/>
      <c r="T39" s="55"/>
      <c r="U39" s="55"/>
      <c r="X39" s="55"/>
      <c r="Y39" s="55"/>
    </row>
    <row r="40" spans="1:25" s="24" customFormat="1" ht="34.5" customHeight="1">
      <c r="A40" s="52"/>
      <c r="B40" s="1515" t="s">
        <v>362</v>
      </c>
      <c r="C40" s="1515"/>
      <c r="D40" s="1515"/>
      <c r="E40" s="1515"/>
      <c r="F40" s="1515"/>
      <c r="G40" s="1515"/>
      <c r="H40" s="1515"/>
      <c r="I40" s="1515"/>
      <c r="J40" s="1515"/>
      <c r="K40" s="1515"/>
      <c r="L40" s="1515"/>
      <c r="M40" s="1515"/>
      <c r="N40" s="1515"/>
      <c r="O40" s="1515"/>
      <c r="P40" s="1515"/>
      <c r="Q40" s="1515"/>
      <c r="R40" s="1515"/>
      <c r="S40" s="1515"/>
      <c r="T40" s="55"/>
      <c r="U40" s="55"/>
      <c r="X40" s="55"/>
      <c r="Y40" s="55"/>
    </row>
    <row r="41" spans="1:25" s="24" customFormat="1" ht="31.5" customHeight="1">
      <c r="A41" s="52"/>
      <c r="B41" s="1515" t="s">
        <v>363</v>
      </c>
      <c r="C41" s="1515"/>
      <c r="D41" s="1515"/>
      <c r="E41" s="1515"/>
      <c r="F41" s="1515"/>
      <c r="G41" s="1515"/>
      <c r="H41" s="1515"/>
      <c r="I41" s="1515"/>
      <c r="J41" s="1515"/>
      <c r="K41" s="1515"/>
      <c r="L41" s="1515"/>
      <c r="M41" s="1515"/>
      <c r="N41" s="1515"/>
      <c r="O41" s="1515"/>
      <c r="P41" s="1515"/>
      <c r="Q41" s="1515"/>
      <c r="R41" s="1515"/>
      <c r="S41" s="1515"/>
      <c r="T41" s="55"/>
      <c r="U41" s="55"/>
      <c r="X41" s="55"/>
      <c r="Y41" s="55"/>
    </row>
    <row r="42" spans="1:25" s="24" customFormat="1" ht="33.75" customHeight="1">
      <c r="A42" s="52"/>
      <c r="B42" s="1515" t="s">
        <v>364</v>
      </c>
      <c r="C42" s="1515"/>
      <c r="D42" s="1515"/>
      <c r="E42" s="1515"/>
      <c r="F42" s="1515"/>
      <c r="G42" s="1515"/>
      <c r="H42" s="1515"/>
      <c r="I42" s="1515"/>
      <c r="J42" s="1515"/>
      <c r="K42" s="1515"/>
      <c r="L42" s="1515"/>
      <c r="M42" s="1515"/>
      <c r="N42" s="1515"/>
      <c r="O42" s="1515"/>
      <c r="P42" s="1515"/>
      <c r="Q42" s="1515"/>
      <c r="R42" s="1515"/>
      <c r="S42" s="1515"/>
      <c r="T42" s="55"/>
      <c r="U42" s="55"/>
      <c r="X42" s="55"/>
      <c r="Y42" s="55"/>
    </row>
    <row r="43" spans="1:25" s="24" customFormat="1" ht="39.75" customHeight="1">
      <c r="A43" s="52"/>
      <c r="B43" s="1515" t="s">
        <v>365</v>
      </c>
      <c r="C43" s="1515"/>
      <c r="D43" s="1515"/>
      <c r="E43" s="1515"/>
      <c r="F43" s="1515"/>
      <c r="G43" s="1515"/>
      <c r="H43" s="1515"/>
      <c r="I43" s="1515"/>
      <c r="J43" s="1515"/>
      <c r="K43" s="1515"/>
      <c r="L43" s="1515"/>
      <c r="M43" s="1515"/>
      <c r="N43" s="1515"/>
      <c r="O43" s="1515"/>
      <c r="P43" s="1515"/>
      <c r="Q43" s="1515"/>
      <c r="R43" s="1515"/>
      <c r="S43" s="1515"/>
      <c r="T43" s="55"/>
      <c r="U43" s="55"/>
      <c r="X43" s="55"/>
      <c r="Y43" s="55"/>
    </row>
    <row r="44" spans="1:25" s="24" customFormat="1" ht="37.5" customHeight="1">
      <c r="A44" s="52"/>
      <c r="B44" s="1515" t="s">
        <v>366</v>
      </c>
      <c r="C44" s="1515"/>
      <c r="D44" s="1515"/>
      <c r="E44" s="1515"/>
      <c r="F44" s="1515"/>
      <c r="G44" s="1515"/>
      <c r="H44" s="1515"/>
      <c r="I44" s="1515"/>
      <c r="J44" s="1515"/>
      <c r="K44" s="1515"/>
      <c r="L44" s="1515"/>
      <c r="M44" s="1515"/>
      <c r="N44" s="1515"/>
      <c r="O44" s="1515"/>
      <c r="P44" s="1515"/>
      <c r="Q44" s="1515"/>
      <c r="R44" s="1515"/>
      <c r="S44" s="1515"/>
      <c r="T44" s="55"/>
      <c r="U44" s="55"/>
      <c r="X44" s="55"/>
      <c r="Y44" s="55"/>
    </row>
    <row r="45" spans="1:25" s="24" customFormat="1" ht="28.5" customHeight="1">
      <c r="A45" s="52"/>
      <c r="B45" s="1515" t="s">
        <v>367</v>
      </c>
      <c r="C45" s="1515"/>
      <c r="D45" s="1515"/>
      <c r="E45" s="1515"/>
      <c r="F45" s="1515"/>
      <c r="G45" s="1515"/>
      <c r="H45" s="1515"/>
      <c r="I45" s="1515"/>
      <c r="J45" s="1515"/>
      <c r="K45" s="1515"/>
      <c r="L45" s="1515"/>
      <c r="M45" s="1515"/>
      <c r="N45" s="1515"/>
      <c r="O45" s="1515"/>
      <c r="P45" s="1515"/>
      <c r="Q45" s="1515"/>
      <c r="R45" s="1515"/>
      <c r="S45" s="1515"/>
      <c r="T45" s="55"/>
      <c r="U45" s="55"/>
      <c r="X45" s="55"/>
      <c r="Y45" s="55"/>
    </row>
    <row r="46" spans="1:25" s="24" customFormat="1" ht="28.5" customHeight="1">
      <c r="A46" s="52"/>
      <c r="B46" s="1515" t="s">
        <v>368</v>
      </c>
      <c r="C46" s="1515"/>
      <c r="D46" s="1515"/>
      <c r="E46" s="1515"/>
      <c r="F46" s="1515"/>
      <c r="G46" s="1515"/>
      <c r="H46" s="1515"/>
      <c r="I46" s="1515"/>
      <c r="J46" s="1515"/>
      <c r="K46" s="1515"/>
      <c r="L46" s="1515"/>
      <c r="M46" s="1515"/>
      <c r="N46" s="1515"/>
      <c r="O46" s="1515"/>
      <c r="P46" s="1515"/>
      <c r="Q46" s="1515"/>
      <c r="R46" s="1515"/>
      <c r="S46" s="1515"/>
      <c r="T46" s="55"/>
      <c r="U46" s="55"/>
      <c r="X46" s="55"/>
      <c r="Y46" s="55"/>
    </row>
    <row r="47" spans="1:25" s="24" customFormat="1" ht="36.75" customHeight="1">
      <c r="A47" s="52"/>
      <c r="B47" s="1515" t="s">
        <v>369</v>
      </c>
      <c r="C47" s="1515"/>
      <c r="D47" s="1515"/>
      <c r="E47" s="1515"/>
      <c r="F47" s="1515"/>
      <c r="G47" s="1515"/>
      <c r="H47" s="1515"/>
      <c r="I47" s="1515"/>
      <c r="J47" s="1515"/>
      <c r="K47" s="1515"/>
      <c r="L47" s="1515"/>
      <c r="M47" s="1515"/>
      <c r="N47" s="1515"/>
      <c r="O47" s="1515"/>
      <c r="P47" s="1515"/>
      <c r="Q47" s="1515"/>
      <c r="R47" s="1515"/>
      <c r="S47" s="1515"/>
      <c r="T47" s="55"/>
      <c r="U47" s="55"/>
      <c r="X47" s="55"/>
      <c r="Y47" s="55"/>
    </row>
    <row r="48" spans="1:25" s="24" customFormat="1" ht="43.5" customHeight="1">
      <c r="A48" s="52"/>
      <c r="B48" s="1515" t="s">
        <v>370</v>
      </c>
      <c r="C48" s="1515"/>
      <c r="D48" s="1515"/>
      <c r="E48" s="1515"/>
      <c r="F48" s="1515"/>
      <c r="G48" s="1515"/>
      <c r="H48" s="1515"/>
      <c r="I48" s="1515"/>
      <c r="J48" s="1515"/>
      <c r="K48" s="1515"/>
      <c r="L48" s="1515"/>
      <c r="M48" s="1515"/>
      <c r="N48" s="1515"/>
      <c r="O48" s="1515"/>
      <c r="P48" s="1515"/>
      <c r="Q48" s="1515"/>
      <c r="R48" s="1515"/>
      <c r="S48" s="1515"/>
      <c r="T48" s="55"/>
      <c r="U48" s="55"/>
      <c r="X48" s="55"/>
      <c r="Y48" s="55"/>
    </row>
    <row r="49" spans="1:25" s="24" customFormat="1" ht="28.5" customHeight="1">
      <c r="A49" s="52"/>
      <c r="B49" s="1515" t="s">
        <v>371</v>
      </c>
      <c r="C49" s="1515"/>
      <c r="D49" s="1515"/>
      <c r="E49" s="1515"/>
      <c r="F49" s="1515"/>
      <c r="G49" s="1515"/>
      <c r="H49" s="1515"/>
      <c r="I49" s="1515"/>
      <c r="J49" s="1515"/>
      <c r="K49" s="1515"/>
      <c r="L49" s="1515"/>
      <c r="M49" s="1515"/>
      <c r="N49" s="1515"/>
      <c r="O49" s="1515"/>
      <c r="P49" s="1515"/>
      <c r="Q49" s="1515"/>
      <c r="R49" s="1515"/>
      <c r="S49" s="1515"/>
      <c r="T49" s="55"/>
      <c r="U49" s="55"/>
      <c r="X49" s="55"/>
      <c r="Y49" s="55"/>
    </row>
    <row r="50" spans="1:25" s="24" customFormat="1" ht="30.75" customHeight="1">
      <c r="A50" s="52"/>
      <c r="B50" s="1515" t="s">
        <v>372</v>
      </c>
      <c r="C50" s="1515"/>
      <c r="D50" s="1515"/>
      <c r="E50" s="1515"/>
      <c r="F50" s="1515"/>
      <c r="G50" s="1515"/>
      <c r="H50" s="1515"/>
      <c r="I50" s="1515"/>
      <c r="J50" s="1515"/>
      <c r="K50" s="1515"/>
      <c r="L50" s="1515"/>
      <c r="M50" s="1515"/>
      <c r="N50" s="1515"/>
      <c r="O50" s="1515"/>
      <c r="P50" s="1515"/>
      <c r="Q50" s="1515"/>
      <c r="R50" s="1515"/>
      <c r="S50" s="1515"/>
      <c r="T50" s="55"/>
      <c r="U50" s="55"/>
      <c r="X50" s="55"/>
      <c r="Y50" s="55"/>
    </row>
    <row r="51" spans="1:30" s="24" customFormat="1" ht="26.25" customHeight="1">
      <c r="A51" s="52"/>
      <c r="B51" s="1515" t="s">
        <v>373</v>
      </c>
      <c r="C51" s="1515"/>
      <c r="D51" s="1515"/>
      <c r="E51" s="1515"/>
      <c r="F51" s="1515"/>
      <c r="G51" s="1515"/>
      <c r="H51" s="1515"/>
      <c r="I51" s="1515"/>
      <c r="J51" s="1515"/>
      <c r="K51" s="1515"/>
      <c r="L51" s="1515"/>
      <c r="M51" s="1515"/>
      <c r="N51" s="1515"/>
      <c r="O51" s="1515"/>
      <c r="P51" s="1515"/>
      <c r="Q51" s="1515"/>
      <c r="R51" s="1515"/>
      <c r="S51" s="1515"/>
      <c r="T51" s="54"/>
      <c r="U51" s="54"/>
      <c r="V51" s="54"/>
      <c r="W51" s="54"/>
      <c r="X51" s="54"/>
      <c r="Y51" s="54"/>
      <c r="Z51" s="54"/>
      <c r="AA51" s="54"/>
      <c r="AB51" s="53"/>
      <c r="AC51" s="53"/>
      <c r="AD51" s="55"/>
    </row>
    <row r="52" spans="1:30" s="24" customFormat="1" ht="29.25" customHeight="1">
      <c r="A52" s="52"/>
      <c r="B52" s="1515" t="s">
        <v>374</v>
      </c>
      <c r="C52" s="1515"/>
      <c r="D52" s="1515"/>
      <c r="E52" s="1515"/>
      <c r="F52" s="1515"/>
      <c r="G52" s="1515"/>
      <c r="H52" s="1515"/>
      <c r="I52" s="1515"/>
      <c r="J52" s="1515"/>
      <c r="K52" s="1515"/>
      <c r="L52" s="1515"/>
      <c r="M52" s="1515"/>
      <c r="N52" s="1515"/>
      <c r="O52" s="1515"/>
      <c r="P52" s="1515"/>
      <c r="Q52" s="1515"/>
      <c r="R52" s="1515"/>
      <c r="S52" s="1515"/>
      <c r="AB52" s="53"/>
      <c r="AC52" s="53"/>
      <c r="AD52" s="55"/>
    </row>
    <row r="53" spans="1:30" s="24" customFormat="1" ht="27" customHeight="1">
      <c r="A53" s="52"/>
      <c r="B53" s="1515" t="s">
        <v>375</v>
      </c>
      <c r="C53" s="1515"/>
      <c r="D53" s="1515"/>
      <c r="E53" s="1515"/>
      <c r="F53" s="1515"/>
      <c r="G53" s="1515"/>
      <c r="H53" s="1515"/>
      <c r="I53" s="1515"/>
      <c r="J53" s="1515"/>
      <c r="K53" s="1515"/>
      <c r="L53" s="1515"/>
      <c r="M53" s="1515"/>
      <c r="N53" s="1515"/>
      <c r="O53" s="1515"/>
      <c r="P53" s="1515"/>
      <c r="Q53" s="1515"/>
      <c r="R53" s="1515"/>
      <c r="S53" s="1515"/>
      <c r="AB53" s="53"/>
      <c r="AC53" s="53"/>
      <c r="AD53" s="55"/>
    </row>
    <row r="54" spans="1:30" s="24" customFormat="1" ht="27" customHeight="1">
      <c r="A54" s="52"/>
      <c r="B54" s="24" t="s">
        <v>376</v>
      </c>
      <c r="AB54" s="53"/>
      <c r="AC54" s="53"/>
      <c r="AD54" s="55"/>
    </row>
    <row r="55" spans="1:30" s="24" customFormat="1" ht="30.75" customHeight="1">
      <c r="A55" s="52"/>
      <c r="B55" s="1515" t="s">
        <v>377</v>
      </c>
      <c r="C55" s="1515"/>
      <c r="D55" s="1515"/>
      <c r="E55" s="1515"/>
      <c r="F55" s="1515"/>
      <c r="G55" s="1515"/>
      <c r="H55" s="1515"/>
      <c r="I55" s="1515"/>
      <c r="J55" s="1515"/>
      <c r="K55" s="1515"/>
      <c r="L55" s="1515"/>
      <c r="M55" s="1515"/>
      <c r="N55" s="1515"/>
      <c r="O55" s="1515"/>
      <c r="P55" s="1515"/>
      <c r="Q55" s="1515"/>
      <c r="R55" s="1515"/>
      <c r="S55" s="1515"/>
      <c r="T55" s="54"/>
      <c r="U55" s="54"/>
      <c r="V55" s="54"/>
      <c r="W55" s="54"/>
      <c r="X55" s="54"/>
      <c r="Y55" s="54"/>
      <c r="Z55" s="54"/>
      <c r="AA55" s="54"/>
      <c r="AB55" s="53"/>
      <c r="AC55" s="53"/>
      <c r="AD55" s="55"/>
    </row>
    <row r="56" spans="1:30" s="24" customFormat="1" ht="29.25" customHeight="1">
      <c r="A56" s="52"/>
      <c r="B56" s="24" t="s">
        <v>378</v>
      </c>
      <c r="AB56" s="53"/>
      <c r="AC56" s="53"/>
      <c r="AD56" s="55"/>
    </row>
    <row r="57" spans="1:30" s="24" customFormat="1" ht="27" customHeight="1">
      <c r="A57" s="52"/>
      <c r="B57" s="1515" t="s">
        <v>379</v>
      </c>
      <c r="C57" s="1515"/>
      <c r="D57" s="1515"/>
      <c r="E57" s="1515"/>
      <c r="F57" s="1515"/>
      <c r="G57" s="1515"/>
      <c r="H57" s="1515"/>
      <c r="I57" s="1515"/>
      <c r="J57" s="1515"/>
      <c r="K57" s="1515"/>
      <c r="L57" s="1515"/>
      <c r="M57" s="1515"/>
      <c r="N57" s="1515"/>
      <c r="O57" s="1515"/>
      <c r="P57" s="1515"/>
      <c r="Q57" s="1515"/>
      <c r="R57" s="1515"/>
      <c r="S57" s="1515"/>
      <c r="AB57" s="53"/>
      <c r="AC57" s="53"/>
      <c r="AD57" s="55"/>
    </row>
    <row r="58" spans="1:30" s="24" customFormat="1" ht="24.75" customHeight="1">
      <c r="A58" s="52"/>
      <c r="B58" s="24" t="s">
        <v>380</v>
      </c>
      <c r="AB58" s="53"/>
      <c r="AC58" s="53"/>
      <c r="AD58" s="55"/>
    </row>
    <row r="59" spans="1:30" s="24" customFormat="1" ht="24.75" customHeight="1">
      <c r="A59" s="52"/>
      <c r="B59" s="24" t="s">
        <v>381</v>
      </c>
      <c r="AB59" s="53"/>
      <c r="AC59" s="53"/>
      <c r="AD59" s="55"/>
    </row>
    <row r="60" spans="1:30" s="24" customFormat="1" ht="24.75" customHeight="1">
      <c r="A60" s="52"/>
      <c r="B60" s="24" t="s">
        <v>382</v>
      </c>
      <c r="AB60" s="53"/>
      <c r="AC60" s="53"/>
      <c r="AD60" s="55"/>
    </row>
    <row r="61" spans="1:29" ht="27" customHeight="1">
      <c r="A61" s="52"/>
      <c r="B61" s="1515" t="s">
        <v>383</v>
      </c>
      <c r="C61" s="1515"/>
      <c r="D61" s="1515"/>
      <c r="E61" s="1515"/>
      <c r="F61" s="1515"/>
      <c r="G61" s="1515"/>
      <c r="H61" s="1515"/>
      <c r="I61" s="1515"/>
      <c r="J61" s="1515"/>
      <c r="K61" s="1515"/>
      <c r="L61" s="1515"/>
      <c r="M61" s="1515"/>
      <c r="N61" s="1515"/>
      <c r="O61" s="1515"/>
      <c r="P61" s="1515"/>
      <c r="Q61" s="1515"/>
      <c r="R61" s="1515"/>
      <c r="S61" s="1515"/>
      <c r="T61" s="1515"/>
      <c r="U61" s="1515"/>
      <c r="V61" s="1515"/>
      <c r="W61" s="1515"/>
      <c r="X61" s="1515"/>
      <c r="Y61" s="1515"/>
      <c r="Z61" s="1515"/>
      <c r="AA61" s="1515"/>
      <c r="AB61" s="1515"/>
      <c r="AC61" s="1515"/>
    </row>
    <row r="62" spans="1:29" ht="19.5" customHeight="1">
      <c r="A62" s="52"/>
      <c r="B62" s="1515"/>
      <c r="C62" s="1515"/>
      <c r="D62" s="1515"/>
      <c r="E62" s="1515"/>
      <c r="F62" s="1515"/>
      <c r="G62" s="1515"/>
      <c r="H62" s="1515"/>
      <c r="I62" s="1515"/>
      <c r="J62" s="1515"/>
      <c r="K62" s="1515"/>
      <c r="L62" s="1515"/>
      <c r="M62" s="1515"/>
      <c r="N62" s="1515"/>
      <c r="O62" s="1515"/>
      <c r="P62" s="1515"/>
      <c r="Q62" s="1515"/>
      <c r="R62" s="1515"/>
      <c r="S62" s="1515"/>
      <c r="T62" s="1515"/>
      <c r="U62" s="1515"/>
      <c r="V62" s="1515"/>
      <c r="W62" s="1515"/>
      <c r="X62" s="1515"/>
      <c r="Y62" s="1515"/>
      <c r="Z62" s="1515"/>
      <c r="AA62" s="1515"/>
      <c r="AB62" s="1515"/>
      <c r="AC62" s="1515"/>
    </row>
    <row r="63" spans="1:29" ht="19.5" customHeight="1">
      <c r="A63" s="52"/>
      <c r="B63" s="53"/>
      <c r="C63" s="54"/>
      <c r="D63" s="54"/>
      <c r="E63" s="54"/>
      <c r="F63" s="54"/>
      <c r="G63" s="55"/>
      <c r="H63" s="55"/>
      <c r="I63" s="55"/>
      <c r="J63" s="55"/>
      <c r="K63" s="55"/>
      <c r="L63" s="55"/>
      <c r="M63" s="55"/>
      <c r="N63" s="55"/>
      <c r="O63" s="55"/>
      <c r="P63" s="55"/>
      <c r="Q63" s="55"/>
      <c r="R63" s="55"/>
      <c r="S63" s="55"/>
      <c r="T63" s="55"/>
      <c r="U63" s="55"/>
      <c r="V63" s="55"/>
      <c r="W63" s="55"/>
      <c r="X63" s="55"/>
      <c r="Y63" s="55"/>
      <c r="Z63" s="55"/>
      <c r="AA63" s="55"/>
      <c r="AB63" s="55"/>
      <c r="AC63" s="55"/>
    </row>
    <row r="64" spans="1:29" ht="19.5" customHeight="1">
      <c r="A64" s="52"/>
      <c r="B64" s="53"/>
      <c r="C64" s="54"/>
      <c r="D64" s="54"/>
      <c r="E64" s="54"/>
      <c r="F64" s="54"/>
      <c r="G64" s="55"/>
      <c r="H64" s="55"/>
      <c r="I64" s="55"/>
      <c r="J64" s="55"/>
      <c r="K64" s="55"/>
      <c r="L64" s="55"/>
      <c r="M64" s="55"/>
      <c r="N64" s="55"/>
      <c r="O64" s="55"/>
      <c r="P64" s="55"/>
      <c r="Q64" s="55"/>
      <c r="R64" s="55"/>
      <c r="S64" s="55"/>
      <c r="T64" s="55"/>
      <c r="U64" s="55"/>
      <c r="V64" s="55"/>
      <c r="W64" s="55"/>
      <c r="X64" s="55"/>
      <c r="Y64" s="55"/>
      <c r="Z64" s="55"/>
      <c r="AA64" s="55"/>
      <c r="AB64" s="55"/>
      <c r="AC64" s="55"/>
    </row>
    <row r="65" spans="1:29" ht="19.5" customHeight="1">
      <c r="A65" s="52"/>
      <c r="B65" s="53"/>
      <c r="C65" s="54"/>
      <c r="D65" s="54"/>
      <c r="E65" s="54"/>
      <c r="F65" s="54"/>
      <c r="G65" s="55"/>
      <c r="H65" s="55"/>
      <c r="I65" s="55"/>
      <c r="J65" s="55"/>
      <c r="K65" s="55"/>
      <c r="L65" s="55"/>
      <c r="M65" s="55"/>
      <c r="N65" s="55"/>
      <c r="O65" s="55"/>
      <c r="P65" s="55"/>
      <c r="Q65" s="55"/>
      <c r="R65" s="55"/>
      <c r="S65" s="55"/>
      <c r="T65" s="55"/>
      <c r="U65" s="55"/>
      <c r="V65" s="55"/>
      <c r="W65" s="55"/>
      <c r="X65" s="55"/>
      <c r="Y65" s="55"/>
      <c r="Z65" s="55"/>
      <c r="AA65" s="55"/>
      <c r="AB65" s="55"/>
      <c r="AC65" s="55"/>
    </row>
    <row r="66" spans="1:29" ht="19.5" customHeight="1">
      <c r="A66" s="52"/>
      <c r="B66" s="53"/>
      <c r="C66" s="54"/>
      <c r="D66" s="54"/>
      <c r="E66" s="54"/>
      <c r="F66" s="54"/>
      <c r="G66" s="55"/>
      <c r="H66" s="55"/>
      <c r="I66" s="55"/>
      <c r="J66" s="55"/>
      <c r="K66" s="55"/>
      <c r="L66" s="55"/>
      <c r="M66" s="55"/>
      <c r="N66" s="55"/>
      <c r="O66" s="55"/>
      <c r="P66" s="55"/>
      <c r="Q66" s="55"/>
      <c r="R66" s="55"/>
      <c r="S66" s="55"/>
      <c r="T66" s="55"/>
      <c r="U66" s="55"/>
      <c r="V66" s="55"/>
      <c r="W66" s="55"/>
      <c r="X66" s="55"/>
      <c r="Y66" s="55"/>
      <c r="Z66" s="55"/>
      <c r="AA66" s="55"/>
      <c r="AB66" s="55"/>
      <c r="AC66" s="55"/>
    </row>
    <row r="67" spans="1:29" ht="19.5" customHeight="1">
      <c r="A67" s="52"/>
      <c r="B67" s="53"/>
      <c r="C67" s="54"/>
      <c r="D67" s="54"/>
      <c r="E67" s="54"/>
      <c r="F67" s="54"/>
      <c r="G67" s="55"/>
      <c r="H67" s="55"/>
      <c r="I67" s="55"/>
      <c r="J67" s="55"/>
      <c r="K67" s="55"/>
      <c r="L67" s="55"/>
      <c r="M67" s="55"/>
      <c r="N67" s="55"/>
      <c r="O67" s="55"/>
      <c r="P67" s="55"/>
      <c r="Q67" s="55"/>
      <c r="R67" s="55"/>
      <c r="S67" s="55"/>
      <c r="T67" s="55"/>
      <c r="U67" s="55"/>
      <c r="V67" s="55"/>
      <c r="W67" s="55"/>
      <c r="X67" s="55"/>
      <c r="Y67" s="55"/>
      <c r="Z67" s="55"/>
      <c r="AA67" s="55"/>
      <c r="AB67" s="55"/>
      <c r="AC67" s="55"/>
    </row>
    <row r="68" spans="1:29" ht="19.5" customHeight="1">
      <c r="A68" s="52"/>
      <c r="B68" s="53"/>
      <c r="C68" s="54"/>
      <c r="D68" s="54"/>
      <c r="E68" s="54"/>
      <c r="F68" s="54"/>
      <c r="G68" s="55"/>
      <c r="H68" s="55"/>
      <c r="I68" s="55"/>
      <c r="J68" s="55"/>
      <c r="K68" s="55"/>
      <c r="L68" s="55"/>
      <c r="M68" s="55"/>
      <c r="N68" s="55"/>
      <c r="O68" s="55"/>
      <c r="P68" s="55"/>
      <c r="Q68" s="55"/>
      <c r="R68" s="55"/>
      <c r="S68" s="55"/>
      <c r="T68" s="55"/>
      <c r="U68" s="55"/>
      <c r="V68" s="55"/>
      <c r="W68" s="55"/>
      <c r="X68" s="55"/>
      <c r="Y68" s="55"/>
      <c r="Z68" s="55"/>
      <c r="AA68" s="55"/>
      <c r="AB68" s="55"/>
      <c r="AC68" s="55"/>
    </row>
    <row r="69" spans="1:29" ht="19.5" customHeight="1">
      <c r="A69" s="52"/>
      <c r="B69" s="53"/>
      <c r="C69" s="54"/>
      <c r="D69" s="54"/>
      <c r="E69" s="54"/>
      <c r="F69" s="54"/>
      <c r="G69" s="55"/>
      <c r="H69" s="55"/>
      <c r="I69" s="55"/>
      <c r="J69" s="55"/>
      <c r="K69" s="55"/>
      <c r="L69" s="55"/>
      <c r="M69" s="55"/>
      <c r="N69" s="55"/>
      <c r="O69" s="55"/>
      <c r="P69" s="55"/>
      <c r="Q69" s="55"/>
      <c r="R69" s="55"/>
      <c r="S69" s="55"/>
      <c r="T69" s="55"/>
      <c r="U69" s="55"/>
      <c r="V69" s="55"/>
      <c r="W69" s="55"/>
      <c r="X69" s="55"/>
      <c r="Y69" s="55"/>
      <c r="Z69" s="55"/>
      <c r="AA69" s="55"/>
      <c r="AB69" s="55"/>
      <c r="AC69" s="55"/>
    </row>
    <row r="70" spans="1:29" ht="19.5" customHeight="1">
      <c r="A70" s="52"/>
      <c r="B70" s="53"/>
      <c r="C70" s="54"/>
      <c r="D70" s="54"/>
      <c r="E70" s="54"/>
      <c r="F70" s="54"/>
      <c r="G70" s="55"/>
      <c r="H70" s="55"/>
      <c r="I70" s="55"/>
      <c r="J70" s="55"/>
      <c r="K70" s="55"/>
      <c r="L70" s="55"/>
      <c r="M70" s="55"/>
      <c r="N70" s="55"/>
      <c r="O70" s="55"/>
      <c r="P70" s="55"/>
      <c r="Q70" s="55"/>
      <c r="R70" s="55"/>
      <c r="S70" s="55"/>
      <c r="T70" s="55"/>
      <c r="U70" s="55"/>
      <c r="V70" s="55"/>
      <c r="W70" s="55"/>
      <c r="X70" s="55"/>
      <c r="Y70" s="55"/>
      <c r="Z70" s="55"/>
      <c r="AA70" s="55"/>
      <c r="AB70" s="55"/>
      <c r="AC70" s="55"/>
    </row>
    <row r="71" spans="1:29" ht="19.5" customHeight="1">
      <c r="A71" s="52"/>
      <c r="B71" s="53"/>
      <c r="C71" s="54"/>
      <c r="D71" s="54"/>
      <c r="E71" s="54"/>
      <c r="F71" s="54"/>
      <c r="G71" s="55"/>
      <c r="H71" s="55"/>
      <c r="I71" s="55"/>
      <c r="J71" s="55"/>
      <c r="K71" s="55"/>
      <c r="L71" s="55"/>
      <c r="M71" s="55"/>
      <c r="N71" s="55"/>
      <c r="O71" s="55"/>
      <c r="P71" s="55"/>
      <c r="Q71" s="55"/>
      <c r="R71" s="55"/>
      <c r="S71" s="55"/>
      <c r="T71" s="55"/>
      <c r="U71" s="55"/>
      <c r="V71" s="55"/>
      <c r="W71" s="55"/>
      <c r="X71" s="55"/>
      <c r="Y71" s="55"/>
      <c r="Z71" s="55"/>
      <c r="AA71" s="55"/>
      <c r="AB71" s="55"/>
      <c r="AC71" s="55"/>
    </row>
    <row r="72" spans="1:29" ht="19.5" customHeight="1">
      <c r="A72" s="52"/>
      <c r="B72" s="53"/>
      <c r="C72" s="54"/>
      <c r="D72" s="54"/>
      <c r="E72" s="54"/>
      <c r="F72" s="54"/>
      <c r="G72" s="55"/>
      <c r="H72" s="55"/>
      <c r="I72" s="55"/>
      <c r="J72" s="55"/>
      <c r="K72" s="55"/>
      <c r="L72" s="55"/>
      <c r="M72" s="55"/>
      <c r="N72" s="55"/>
      <c r="O72" s="55"/>
      <c r="P72" s="55"/>
      <c r="Q72" s="55"/>
      <c r="R72" s="55"/>
      <c r="S72" s="55"/>
      <c r="T72" s="55"/>
      <c r="U72" s="55"/>
      <c r="V72" s="55"/>
      <c r="W72" s="55"/>
      <c r="X72" s="55"/>
      <c r="Y72" s="55"/>
      <c r="Z72" s="55"/>
      <c r="AA72" s="55"/>
      <c r="AB72" s="55"/>
      <c r="AC72" s="55"/>
    </row>
    <row r="73" spans="1:29" ht="19.5" customHeight="1">
      <c r="A73" s="52"/>
      <c r="B73" s="53"/>
      <c r="C73" s="54"/>
      <c r="D73" s="54"/>
      <c r="E73" s="54"/>
      <c r="F73" s="54"/>
      <c r="G73" s="55"/>
      <c r="H73" s="55"/>
      <c r="I73" s="55"/>
      <c r="J73" s="55"/>
      <c r="K73" s="55"/>
      <c r="L73" s="55"/>
      <c r="M73" s="55"/>
      <c r="N73" s="55"/>
      <c r="O73" s="55"/>
      <c r="P73" s="55"/>
      <c r="Q73" s="55"/>
      <c r="R73" s="55"/>
      <c r="S73" s="55"/>
      <c r="T73" s="55"/>
      <c r="U73" s="55"/>
      <c r="V73" s="55"/>
      <c r="W73" s="55"/>
      <c r="X73" s="55"/>
      <c r="Y73" s="55"/>
      <c r="Z73" s="55"/>
      <c r="AA73" s="55"/>
      <c r="AB73" s="55"/>
      <c r="AC73" s="55"/>
    </row>
    <row r="74" spans="1:29" ht="19.5" customHeight="1">
      <c r="A74" s="52"/>
      <c r="B74" s="53"/>
      <c r="C74" s="54"/>
      <c r="D74" s="54"/>
      <c r="E74" s="54"/>
      <c r="F74" s="54"/>
      <c r="G74" s="55"/>
      <c r="H74" s="55"/>
      <c r="I74" s="55"/>
      <c r="J74" s="55"/>
      <c r="K74" s="55"/>
      <c r="L74" s="55"/>
      <c r="M74" s="55"/>
      <c r="N74" s="55"/>
      <c r="O74" s="55"/>
      <c r="P74" s="55"/>
      <c r="Q74" s="55"/>
      <c r="R74" s="55"/>
      <c r="S74" s="55"/>
      <c r="T74" s="55"/>
      <c r="U74" s="55"/>
      <c r="V74" s="55"/>
      <c r="W74" s="55"/>
      <c r="X74" s="55"/>
      <c r="Y74" s="55"/>
      <c r="Z74" s="55"/>
      <c r="AA74" s="55"/>
      <c r="AB74" s="55"/>
      <c r="AC74" s="55"/>
    </row>
    <row r="75" spans="1:29" ht="19.5" customHeight="1">
      <c r="A75" s="52"/>
      <c r="B75" s="53"/>
      <c r="C75" s="54"/>
      <c r="D75" s="54"/>
      <c r="E75" s="54"/>
      <c r="F75" s="54"/>
      <c r="G75" s="55"/>
      <c r="H75" s="55"/>
      <c r="I75" s="55"/>
      <c r="J75" s="55"/>
      <c r="K75" s="55"/>
      <c r="L75" s="55"/>
      <c r="M75" s="55"/>
      <c r="N75" s="55"/>
      <c r="O75" s="55"/>
      <c r="P75" s="55"/>
      <c r="Q75" s="55"/>
      <c r="R75" s="55"/>
      <c r="S75" s="55"/>
      <c r="T75" s="55"/>
      <c r="U75" s="55"/>
      <c r="V75" s="55"/>
      <c r="W75" s="55"/>
      <c r="X75" s="55"/>
      <c r="Y75" s="55"/>
      <c r="Z75" s="55"/>
      <c r="AA75" s="55"/>
      <c r="AB75" s="55"/>
      <c r="AC75" s="55"/>
    </row>
    <row r="76" spans="1:29" ht="19.5" customHeight="1">
      <c r="A76" s="52"/>
      <c r="B76" s="53"/>
      <c r="C76" s="54"/>
      <c r="D76" s="54"/>
      <c r="E76" s="54"/>
      <c r="F76" s="54"/>
      <c r="G76" s="55"/>
      <c r="H76" s="55"/>
      <c r="I76" s="55"/>
      <c r="J76" s="55"/>
      <c r="K76" s="55"/>
      <c r="L76" s="55"/>
      <c r="M76" s="55"/>
      <c r="N76" s="55"/>
      <c r="O76" s="55"/>
      <c r="P76" s="55"/>
      <c r="Q76" s="55"/>
      <c r="R76" s="55"/>
      <c r="S76" s="55"/>
      <c r="T76" s="55"/>
      <c r="U76" s="55"/>
      <c r="V76" s="55"/>
      <c r="W76" s="55"/>
      <c r="X76" s="55"/>
      <c r="Y76" s="55"/>
      <c r="Z76" s="55"/>
      <c r="AA76" s="55"/>
      <c r="AB76" s="55"/>
      <c r="AC76" s="55"/>
    </row>
    <row r="77" spans="1:29" ht="15.75">
      <c r="A77" s="52"/>
      <c r="B77" s="53"/>
      <c r="C77" s="54"/>
      <c r="D77" s="54"/>
      <c r="E77" s="54"/>
      <c r="F77" s="54"/>
      <c r="G77" s="55"/>
      <c r="H77" s="55"/>
      <c r="I77" s="55"/>
      <c r="J77" s="55"/>
      <c r="K77" s="55"/>
      <c r="L77" s="55"/>
      <c r="M77" s="55"/>
      <c r="N77" s="55"/>
      <c r="O77" s="55"/>
      <c r="P77" s="55"/>
      <c r="Q77" s="55"/>
      <c r="R77" s="55"/>
      <c r="S77" s="55"/>
      <c r="T77" s="55"/>
      <c r="U77" s="55"/>
      <c r="V77" s="55"/>
      <c r="W77" s="55"/>
      <c r="X77" s="55"/>
      <c r="Y77" s="55"/>
      <c r="Z77" s="55"/>
      <c r="AA77" s="55"/>
      <c r="AB77" s="55"/>
      <c r="AC77" s="55"/>
    </row>
    <row r="78" spans="1:29" ht="15.75">
      <c r="A78" s="52"/>
      <c r="B78" s="53"/>
      <c r="C78" s="54"/>
      <c r="D78" s="54"/>
      <c r="E78" s="54"/>
      <c r="F78" s="54"/>
      <c r="G78" s="55"/>
      <c r="H78" s="55"/>
      <c r="I78" s="55"/>
      <c r="J78" s="55"/>
      <c r="K78" s="55"/>
      <c r="L78" s="55"/>
      <c r="M78" s="55"/>
      <c r="N78" s="55"/>
      <c r="O78" s="55"/>
      <c r="P78" s="55"/>
      <c r="Q78" s="55"/>
      <c r="R78" s="55"/>
      <c r="S78" s="55"/>
      <c r="T78" s="55"/>
      <c r="U78" s="55"/>
      <c r="V78" s="55"/>
      <c r="W78" s="55"/>
      <c r="X78" s="55"/>
      <c r="Y78" s="55"/>
      <c r="Z78" s="55"/>
      <c r="AA78" s="55"/>
      <c r="AB78" s="55"/>
      <c r="AC78" s="55"/>
    </row>
    <row r="79" spans="1:29" ht="15.75">
      <c r="A79" s="52"/>
      <c r="B79" s="53"/>
      <c r="C79" s="54"/>
      <c r="D79" s="54"/>
      <c r="E79" s="54"/>
      <c r="F79" s="54"/>
      <c r="G79" s="55"/>
      <c r="H79" s="55"/>
      <c r="I79" s="55"/>
      <c r="J79" s="55"/>
      <c r="K79" s="55"/>
      <c r="L79" s="55"/>
      <c r="M79" s="55"/>
      <c r="N79" s="55"/>
      <c r="O79" s="55"/>
      <c r="P79" s="55"/>
      <c r="Q79" s="55"/>
      <c r="R79" s="55"/>
      <c r="S79" s="55"/>
      <c r="T79" s="55"/>
      <c r="U79" s="55"/>
      <c r="V79" s="55"/>
      <c r="W79" s="55"/>
      <c r="X79" s="55"/>
      <c r="Y79" s="55"/>
      <c r="Z79" s="55"/>
      <c r="AA79" s="55"/>
      <c r="AB79" s="55"/>
      <c r="AC79" s="55"/>
    </row>
    <row r="80" spans="1:29" ht="15.75">
      <c r="A80" s="52"/>
      <c r="B80" s="53"/>
      <c r="C80" s="54"/>
      <c r="D80" s="54"/>
      <c r="E80" s="54"/>
      <c r="F80" s="54"/>
      <c r="G80" s="55"/>
      <c r="H80" s="55"/>
      <c r="I80" s="55"/>
      <c r="J80" s="55"/>
      <c r="K80" s="55"/>
      <c r="L80" s="55"/>
      <c r="M80" s="55"/>
      <c r="N80" s="55"/>
      <c r="O80" s="55"/>
      <c r="P80" s="55"/>
      <c r="Q80" s="55"/>
      <c r="R80" s="55"/>
      <c r="S80" s="55"/>
      <c r="T80" s="55"/>
      <c r="U80" s="55"/>
      <c r="V80" s="55"/>
      <c r="W80" s="55"/>
      <c r="X80" s="55"/>
      <c r="Y80" s="55"/>
      <c r="Z80" s="55"/>
      <c r="AA80" s="55"/>
      <c r="AB80" s="55"/>
      <c r="AC80" s="55"/>
    </row>
    <row r="81" spans="1:29" ht="15.75">
      <c r="A81" s="52"/>
      <c r="B81" s="53"/>
      <c r="C81" s="54"/>
      <c r="D81" s="54"/>
      <c r="E81" s="54"/>
      <c r="F81" s="54"/>
      <c r="G81" s="55"/>
      <c r="H81" s="55"/>
      <c r="I81" s="55"/>
      <c r="J81" s="55"/>
      <c r="K81" s="55"/>
      <c r="L81" s="55"/>
      <c r="M81" s="55"/>
      <c r="N81" s="55"/>
      <c r="O81" s="55"/>
      <c r="P81" s="55"/>
      <c r="Q81" s="55"/>
      <c r="R81" s="55"/>
      <c r="S81" s="55"/>
      <c r="T81" s="55"/>
      <c r="U81" s="55"/>
      <c r="V81" s="55"/>
      <c r="W81" s="55"/>
      <c r="X81" s="55"/>
      <c r="Y81" s="55"/>
      <c r="Z81" s="55"/>
      <c r="AA81" s="55"/>
      <c r="AB81" s="55"/>
      <c r="AC81" s="55"/>
    </row>
    <row r="82" spans="1:29" ht="15.75">
      <c r="A82" s="52"/>
      <c r="B82" s="53"/>
      <c r="C82" s="54"/>
      <c r="D82" s="54"/>
      <c r="E82" s="54"/>
      <c r="F82" s="54"/>
      <c r="G82" s="55"/>
      <c r="H82" s="55"/>
      <c r="I82" s="55"/>
      <c r="J82" s="55"/>
      <c r="K82" s="55"/>
      <c r="L82" s="55"/>
      <c r="M82" s="55"/>
      <c r="N82" s="55"/>
      <c r="O82" s="55"/>
      <c r="P82" s="55"/>
      <c r="Q82" s="55"/>
      <c r="R82" s="55"/>
      <c r="S82" s="55"/>
      <c r="T82" s="55"/>
      <c r="U82" s="55"/>
      <c r="V82" s="55"/>
      <c r="W82" s="55"/>
      <c r="X82" s="55"/>
      <c r="Y82" s="55"/>
      <c r="Z82" s="55"/>
      <c r="AA82" s="55"/>
      <c r="AB82" s="55"/>
      <c r="AC82" s="55"/>
    </row>
    <row r="83" spans="1:29" ht="15.75">
      <c r="A83" s="52"/>
      <c r="B83" s="53"/>
      <c r="C83" s="54"/>
      <c r="D83" s="54"/>
      <c r="E83" s="54"/>
      <c r="F83" s="54"/>
      <c r="G83" s="55"/>
      <c r="H83" s="55"/>
      <c r="I83" s="55"/>
      <c r="J83" s="55"/>
      <c r="K83" s="55"/>
      <c r="L83" s="55"/>
      <c r="M83" s="55"/>
      <c r="N83" s="55"/>
      <c r="O83" s="55"/>
      <c r="P83" s="55"/>
      <c r="Q83" s="55"/>
      <c r="R83" s="55"/>
      <c r="S83" s="55"/>
      <c r="T83" s="55"/>
      <c r="U83" s="55"/>
      <c r="V83" s="55"/>
      <c r="W83" s="55"/>
      <c r="X83" s="55"/>
      <c r="Y83" s="55"/>
      <c r="Z83" s="55"/>
      <c r="AA83" s="55"/>
      <c r="AB83" s="55"/>
      <c r="AC83" s="55"/>
    </row>
    <row r="84" spans="1:29" ht="15.75">
      <c r="A84" s="52"/>
      <c r="B84" s="53"/>
      <c r="C84" s="54"/>
      <c r="D84" s="54"/>
      <c r="E84" s="54"/>
      <c r="F84" s="54"/>
      <c r="G84" s="55"/>
      <c r="H84" s="55"/>
      <c r="I84" s="55"/>
      <c r="J84" s="55"/>
      <c r="K84" s="55"/>
      <c r="L84" s="55"/>
      <c r="M84" s="55"/>
      <c r="N84" s="55"/>
      <c r="O84" s="55"/>
      <c r="P84" s="55"/>
      <c r="Q84" s="55"/>
      <c r="R84" s="55"/>
      <c r="S84" s="55"/>
      <c r="T84" s="55"/>
      <c r="U84" s="55"/>
      <c r="V84" s="55"/>
      <c r="W84" s="55"/>
      <c r="X84" s="55"/>
      <c r="Y84" s="55"/>
      <c r="Z84" s="55"/>
      <c r="AA84" s="55"/>
      <c r="AB84" s="55"/>
      <c r="AC84" s="55"/>
    </row>
    <row r="85" spans="1:29" ht="15.75">
      <c r="A85" s="52"/>
      <c r="B85" s="53"/>
      <c r="C85" s="54"/>
      <c r="D85" s="54"/>
      <c r="E85" s="54"/>
      <c r="F85" s="54"/>
      <c r="G85" s="55"/>
      <c r="H85" s="55"/>
      <c r="I85" s="55"/>
      <c r="J85" s="55"/>
      <c r="K85" s="55"/>
      <c r="L85" s="55"/>
      <c r="M85" s="55"/>
      <c r="N85" s="55"/>
      <c r="O85" s="55"/>
      <c r="P85" s="55"/>
      <c r="Q85" s="55"/>
      <c r="R85" s="55"/>
      <c r="S85" s="55"/>
      <c r="T85" s="55"/>
      <c r="U85" s="55"/>
      <c r="V85" s="55"/>
      <c r="W85" s="55"/>
      <c r="X85" s="55"/>
      <c r="Y85" s="55"/>
      <c r="Z85" s="55"/>
      <c r="AA85" s="55"/>
      <c r="AB85" s="55"/>
      <c r="AC85" s="55"/>
    </row>
    <row r="86" spans="1:29" ht="15.75">
      <c r="A86" s="52"/>
      <c r="B86" s="53"/>
      <c r="C86" s="54"/>
      <c r="D86" s="54"/>
      <c r="E86" s="54"/>
      <c r="F86" s="54"/>
      <c r="G86" s="55"/>
      <c r="H86" s="55"/>
      <c r="I86" s="55"/>
      <c r="J86" s="55"/>
      <c r="K86" s="55"/>
      <c r="L86" s="55"/>
      <c r="M86" s="55"/>
      <c r="N86" s="55"/>
      <c r="O86" s="55"/>
      <c r="P86" s="55"/>
      <c r="Q86" s="55"/>
      <c r="R86" s="55"/>
      <c r="S86" s="55"/>
      <c r="T86" s="55"/>
      <c r="U86" s="55"/>
      <c r="V86" s="55"/>
      <c r="W86" s="55"/>
      <c r="X86" s="55"/>
      <c r="Y86" s="55"/>
      <c r="Z86" s="55"/>
      <c r="AA86" s="55"/>
      <c r="AB86" s="55"/>
      <c r="AC86" s="55"/>
    </row>
    <row r="87" spans="1:29" ht="15.75">
      <c r="A87" s="52"/>
      <c r="B87" s="53"/>
      <c r="C87" s="54"/>
      <c r="D87" s="54"/>
      <c r="E87" s="54"/>
      <c r="F87" s="54"/>
      <c r="G87" s="55"/>
      <c r="H87" s="55"/>
      <c r="I87" s="55"/>
      <c r="J87" s="55"/>
      <c r="K87" s="55"/>
      <c r="L87" s="55"/>
      <c r="M87" s="55"/>
      <c r="N87" s="55"/>
      <c r="O87" s="55"/>
      <c r="P87" s="55"/>
      <c r="Q87" s="55"/>
      <c r="R87" s="55"/>
      <c r="S87" s="55"/>
      <c r="T87" s="55"/>
      <c r="U87" s="55"/>
      <c r="V87" s="55"/>
      <c r="W87" s="55"/>
      <c r="X87" s="55"/>
      <c r="Y87" s="55"/>
      <c r="Z87" s="55"/>
      <c r="AA87" s="55"/>
      <c r="AB87" s="55"/>
      <c r="AC87" s="55"/>
    </row>
    <row r="88" spans="1:29" ht="15.75">
      <c r="A88" s="52"/>
      <c r="B88" s="53"/>
      <c r="C88" s="54"/>
      <c r="D88" s="54"/>
      <c r="E88" s="54"/>
      <c r="F88" s="54"/>
      <c r="G88" s="55"/>
      <c r="H88" s="55"/>
      <c r="I88" s="55"/>
      <c r="J88" s="55"/>
      <c r="K88" s="55"/>
      <c r="L88" s="55"/>
      <c r="M88" s="55"/>
      <c r="N88" s="55"/>
      <c r="O88" s="55"/>
      <c r="P88" s="55"/>
      <c r="Q88" s="55"/>
      <c r="R88" s="55"/>
      <c r="S88" s="55"/>
      <c r="T88" s="55"/>
      <c r="U88" s="55"/>
      <c r="V88" s="55"/>
      <c r="W88" s="55"/>
      <c r="X88" s="55"/>
      <c r="Y88" s="55"/>
      <c r="Z88" s="55"/>
      <c r="AA88" s="55"/>
      <c r="AB88" s="55"/>
      <c r="AC88" s="55"/>
    </row>
    <row r="89" spans="1:29" ht="15.75">
      <c r="A89" s="52"/>
      <c r="B89" s="53"/>
      <c r="C89" s="54"/>
      <c r="D89" s="54"/>
      <c r="E89" s="54"/>
      <c r="F89" s="54"/>
      <c r="G89" s="55"/>
      <c r="H89" s="55"/>
      <c r="I89" s="55"/>
      <c r="J89" s="55"/>
      <c r="K89" s="55"/>
      <c r="L89" s="55"/>
      <c r="M89" s="55"/>
      <c r="N89" s="55"/>
      <c r="O89" s="55"/>
      <c r="P89" s="55"/>
      <c r="Q89" s="55"/>
      <c r="R89" s="55"/>
      <c r="S89" s="55"/>
      <c r="T89" s="55"/>
      <c r="U89" s="55"/>
      <c r="V89" s="55"/>
      <c r="W89" s="55"/>
      <c r="X89" s="55"/>
      <c r="Y89" s="55"/>
      <c r="Z89" s="55"/>
      <c r="AA89" s="55"/>
      <c r="AB89" s="55"/>
      <c r="AC89" s="55"/>
    </row>
    <row r="90" spans="1:29" ht="15.75">
      <c r="A90" s="52"/>
      <c r="B90" s="53"/>
      <c r="C90" s="54"/>
      <c r="D90" s="54"/>
      <c r="E90" s="54"/>
      <c r="F90" s="54"/>
      <c r="G90" s="55"/>
      <c r="H90" s="55"/>
      <c r="I90" s="55"/>
      <c r="J90" s="55"/>
      <c r="K90" s="55"/>
      <c r="L90" s="55"/>
      <c r="M90" s="55"/>
      <c r="N90" s="55"/>
      <c r="O90" s="55"/>
      <c r="P90" s="55"/>
      <c r="Q90" s="55"/>
      <c r="R90" s="55"/>
      <c r="S90" s="55"/>
      <c r="T90" s="55"/>
      <c r="U90" s="55"/>
      <c r="V90" s="55"/>
      <c r="W90" s="55"/>
      <c r="X90" s="55"/>
      <c r="Y90" s="55"/>
      <c r="Z90" s="55"/>
      <c r="AA90" s="55"/>
      <c r="AB90" s="55"/>
      <c r="AC90" s="55"/>
    </row>
    <row r="91" spans="1:29" ht="15.75">
      <c r="A91" s="52"/>
      <c r="B91" s="53"/>
      <c r="C91" s="54"/>
      <c r="D91" s="54"/>
      <c r="E91" s="54"/>
      <c r="F91" s="54"/>
      <c r="G91" s="55"/>
      <c r="H91" s="55"/>
      <c r="I91" s="55"/>
      <c r="J91" s="55"/>
      <c r="K91" s="55"/>
      <c r="L91" s="55"/>
      <c r="M91" s="55"/>
      <c r="N91" s="55"/>
      <c r="O91" s="55"/>
      <c r="P91" s="55"/>
      <c r="Q91" s="55"/>
      <c r="R91" s="55"/>
      <c r="S91" s="55"/>
      <c r="T91" s="55"/>
      <c r="U91" s="55"/>
      <c r="V91" s="55"/>
      <c r="W91" s="55"/>
      <c r="X91" s="55"/>
      <c r="Y91" s="55"/>
      <c r="Z91" s="55"/>
      <c r="AA91" s="55"/>
      <c r="AB91" s="55"/>
      <c r="AC91" s="55"/>
    </row>
    <row r="92" spans="1:29" ht="15.75">
      <c r="A92" s="52"/>
      <c r="B92" s="53"/>
      <c r="C92" s="54"/>
      <c r="D92" s="54"/>
      <c r="E92" s="54"/>
      <c r="F92" s="54"/>
      <c r="G92" s="55"/>
      <c r="H92" s="55"/>
      <c r="I92" s="55"/>
      <c r="J92" s="55"/>
      <c r="K92" s="55"/>
      <c r="L92" s="55"/>
      <c r="M92" s="55"/>
      <c r="N92" s="55"/>
      <c r="O92" s="55"/>
      <c r="P92" s="55"/>
      <c r="Q92" s="55"/>
      <c r="R92" s="55"/>
      <c r="S92" s="55"/>
      <c r="T92" s="55"/>
      <c r="U92" s="55"/>
      <c r="V92" s="55"/>
      <c r="W92" s="55"/>
      <c r="X92" s="55"/>
      <c r="Y92" s="55"/>
      <c r="Z92" s="55"/>
      <c r="AA92" s="55"/>
      <c r="AB92" s="55"/>
      <c r="AC92" s="55"/>
    </row>
    <row r="93" spans="1:29" ht="15.75">
      <c r="A93" s="52"/>
      <c r="B93" s="53"/>
      <c r="C93" s="54"/>
      <c r="D93" s="54"/>
      <c r="E93" s="54"/>
      <c r="F93" s="54"/>
      <c r="G93" s="55"/>
      <c r="H93" s="55"/>
      <c r="I93" s="55"/>
      <c r="J93" s="55"/>
      <c r="K93" s="55"/>
      <c r="L93" s="55"/>
      <c r="M93" s="55"/>
      <c r="N93" s="55"/>
      <c r="O93" s="55"/>
      <c r="P93" s="55"/>
      <c r="Q93" s="55"/>
      <c r="R93" s="55"/>
      <c r="S93" s="55"/>
      <c r="T93" s="55"/>
      <c r="U93" s="55"/>
      <c r="V93" s="55"/>
      <c r="W93" s="55"/>
      <c r="X93" s="55"/>
      <c r="Y93" s="55"/>
      <c r="Z93" s="55"/>
      <c r="AA93" s="55"/>
      <c r="AB93" s="55"/>
      <c r="AC93" s="55"/>
    </row>
    <row r="94" spans="1:29" ht="15.75">
      <c r="A94" s="52"/>
      <c r="B94" s="53"/>
      <c r="C94" s="54"/>
      <c r="D94" s="54"/>
      <c r="E94" s="54"/>
      <c r="F94" s="54"/>
      <c r="G94" s="55"/>
      <c r="H94" s="55"/>
      <c r="I94" s="55"/>
      <c r="J94" s="55"/>
      <c r="K94" s="55"/>
      <c r="L94" s="55"/>
      <c r="M94" s="55"/>
      <c r="N94" s="55"/>
      <c r="O94" s="55"/>
      <c r="P94" s="55"/>
      <c r="Q94" s="55"/>
      <c r="R94" s="55"/>
      <c r="S94" s="55"/>
      <c r="T94" s="55"/>
      <c r="U94" s="55"/>
      <c r="V94" s="55"/>
      <c r="W94" s="55"/>
      <c r="X94" s="55"/>
      <c r="Y94" s="55"/>
      <c r="Z94" s="55"/>
      <c r="AA94" s="55"/>
      <c r="AB94" s="55"/>
      <c r="AC94" s="55"/>
    </row>
    <row r="95" spans="1:29" ht="15.75">
      <c r="A95" s="52"/>
      <c r="B95" s="53"/>
      <c r="C95" s="54"/>
      <c r="D95" s="54"/>
      <c r="E95" s="54"/>
      <c r="F95" s="54"/>
      <c r="G95" s="55"/>
      <c r="H95" s="55"/>
      <c r="I95" s="55"/>
      <c r="J95" s="55"/>
      <c r="K95" s="55"/>
      <c r="L95" s="55"/>
      <c r="M95" s="55"/>
      <c r="N95" s="55"/>
      <c r="O95" s="55"/>
      <c r="P95" s="55"/>
      <c r="Q95" s="55"/>
      <c r="R95" s="55"/>
      <c r="S95" s="55"/>
      <c r="T95" s="55"/>
      <c r="U95" s="55"/>
      <c r="V95" s="55"/>
      <c r="W95" s="55"/>
      <c r="X95" s="55"/>
      <c r="Y95" s="55"/>
      <c r="Z95" s="55"/>
      <c r="AA95" s="55"/>
      <c r="AB95" s="55"/>
      <c r="AC95" s="55"/>
    </row>
    <row r="96" spans="1:29" ht="15.75">
      <c r="A96" s="52"/>
      <c r="B96" s="53"/>
      <c r="C96" s="54"/>
      <c r="D96" s="54"/>
      <c r="E96" s="54"/>
      <c r="F96" s="54"/>
      <c r="G96" s="55"/>
      <c r="H96" s="55"/>
      <c r="I96" s="55"/>
      <c r="J96" s="55"/>
      <c r="K96" s="55"/>
      <c r="L96" s="55"/>
      <c r="M96" s="55"/>
      <c r="N96" s="55"/>
      <c r="O96" s="55"/>
      <c r="P96" s="55"/>
      <c r="Q96" s="55"/>
      <c r="R96" s="55"/>
      <c r="S96" s="55"/>
      <c r="T96" s="55"/>
      <c r="U96" s="55"/>
      <c r="V96" s="55"/>
      <c r="W96" s="55"/>
      <c r="X96" s="55"/>
      <c r="Y96" s="55"/>
      <c r="Z96" s="55"/>
      <c r="AA96" s="55"/>
      <c r="AB96" s="55"/>
      <c r="AC96" s="55"/>
    </row>
    <row r="97" spans="1:29" ht="15.75">
      <c r="A97" s="52"/>
      <c r="B97" s="53"/>
      <c r="C97" s="54"/>
      <c r="D97" s="54"/>
      <c r="E97" s="54"/>
      <c r="F97" s="54"/>
      <c r="G97" s="55"/>
      <c r="H97" s="55"/>
      <c r="I97" s="55"/>
      <c r="J97" s="55"/>
      <c r="K97" s="55"/>
      <c r="L97" s="55"/>
      <c r="M97" s="55"/>
      <c r="N97" s="55"/>
      <c r="O97" s="55"/>
      <c r="P97" s="55"/>
      <c r="Q97" s="55"/>
      <c r="R97" s="55"/>
      <c r="S97" s="55"/>
      <c r="T97" s="55"/>
      <c r="U97" s="55"/>
      <c r="V97" s="55"/>
      <c r="W97" s="55"/>
      <c r="X97" s="55"/>
      <c r="Y97" s="55"/>
      <c r="Z97" s="55"/>
      <c r="AA97" s="55"/>
      <c r="AB97" s="55"/>
      <c r="AC97" s="55"/>
    </row>
    <row r="98" spans="1:29" ht="15.75">
      <c r="A98" s="52"/>
      <c r="B98" s="53"/>
      <c r="C98" s="54"/>
      <c r="D98" s="54"/>
      <c r="E98" s="54"/>
      <c r="F98" s="54"/>
      <c r="G98" s="55"/>
      <c r="H98" s="55"/>
      <c r="I98" s="55"/>
      <c r="J98" s="55"/>
      <c r="K98" s="55"/>
      <c r="L98" s="55"/>
      <c r="M98" s="55"/>
      <c r="N98" s="55"/>
      <c r="O98" s="55"/>
      <c r="P98" s="55"/>
      <c r="Q98" s="55"/>
      <c r="R98" s="55"/>
      <c r="S98" s="55"/>
      <c r="T98" s="55"/>
      <c r="U98" s="55"/>
      <c r="V98" s="55"/>
      <c r="W98" s="55"/>
      <c r="X98" s="55"/>
      <c r="Y98" s="55"/>
      <c r="Z98" s="55"/>
      <c r="AA98" s="55"/>
      <c r="AB98" s="55"/>
      <c r="AC98" s="55"/>
    </row>
    <row r="99" spans="1:29" ht="15.75">
      <c r="A99" s="52"/>
      <c r="B99" s="53"/>
      <c r="C99" s="54"/>
      <c r="D99" s="54"/>
      <c r="E99" s="54"/>
      <c r="F99" s="54"/>
      <c r="G99" s="55"/>
      <c r="H99" s="55"/>
      <c r="I99" s="55"/>
      <c r="J99" s="55"/>
      <c r="K99" s="55"/>
      <c r="L99" s="55"/>
      <c r="M99" s="55"/>
      <c r="N99" s="55"/>
      <c r="O99" s="55"/>
      <c r="P99" s="55"/>
      <c r="Q99" s="55"/>
      <c r="R99" s="55"/>
      <c r="S99" s="55"/>
      <c r="T99" s="55"/>
      <c r="U99" s="55"/>
      <c r="V99" s="55"/>
      <c r="W99" s="55"/>
      <c r="X99" s="55"/>
      <c r="Y99" s="55"/>
      <c r="Z99" s="55"/>
      <c r="AA99" s="55"/>
      <c r="AB99" s="55"/>
      <c r="AC99" s="55"/>
    </row>
    <row r="100" spans="1:29" ht="15.75">
      <c r="A100" s="52"/>
      <c r="B100" s="53"/>
      <c r="C100" s="54"/>
      <c r="D100" s="54"/>
      <c r="E100" s="54"/>
      <c r="F100" s="54"/>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row>
    <row r="101" spans="1:29" ht="15.75">
      <c r="A101" s="52"/>
      <c r="B101" s="53"/>
      <c r="C101" s="54"/>
      <c r="D101" s="54"/>
      <c r="E101" s="54"/>
      <c r="F101" s="54"/>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row>
    <row r="102" spans="1:29" ht="15.75">
      <c r="A102" s="52"/>
      <c r="B102" s="53"/>
      <c r="C102" s="54"/>
      <c r="D102" s="54"/>
      <c r="E102" s="54"/>
      <c r="F102" s="54"/>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row>
    <row r="103" spans="1:29" ht="15.75">
      <c r="A103" s="52"/>
      <c r="B103" s="53"/>
      <c r="C103" s="54"/>
      <c r="D103" s="54"/>
      <c r="E103" s="54"/>
      <c r="F103" s="54"/>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row>
    <row r="104" spans="1:29" ht="15.75">
      <c r="A104" s="52"/>
      <c r="B104" s="53"/>
      <c r="C104" s="54"/>
      <c r="D104" s="54"/>
      <c r="E104" s="54"/>
      <c r="F104" s="54"/>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row>
    <row r="105" spans="1:29" ht="15.75">
      <c r="A105" s="52"/>
      <c r="B105" s="53"/>
      <c r="C105" s="54"/>
      <c r="D105" s="54"/>
      <c r="E105" s="54"/>
      <c r="F105" s="54"/>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row>
    <row r="106" spans="1:29" ht="15.75">
      <c r="A106" s="52"/>
      <c r="B106" s="53"/>
      <c r="C106" s="54"/>
      <c r="D106" s="54"/>
      <c r="E106" s="54"/>
      <c r="F106" s="54"/>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row>
    <row r="107" spans="1:29" ht="15.75">
      <c r="A107" s="52"/>
      <c r="B107" s="53"/>
      <c r="C107" s="54"/>
      <c r="D107" s="54"/>
      <c r="E107" s="54"/>
      <c r="F107" s="54"/>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row>
    <row r="108" spans="1:29" ht="15.75">
      <c r="A108" s="52"/>
      <c r="B108" s="53"/>
      <c r="C108" s="54"/>
      <c r="D108" s="54"/>
      <c r="E108" s="54"/>
      <c r="F108" s="54"/>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row>
    <row r="109" spans="1:29" ht="15.75">
      <c r="A109" s="52"/>
      <c r="B109" s="53"/>
      <c r="C109" s="54"/>
      <c r="D109" s="54"/>
      <c r="E109" s="54"/>
      <c r="F109" s="54"/>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row>
    <row r="110" spans="1:29" ht="15.75">
      <c r="A110" s="52"/>
      <c r="B110" s="53"/>
      <c r="C110" s="54"/>
      <c r="D110" s="54"/>
      <c r="E110" s="54"/>
      <c r="F110" s="54"/>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row>
    <row r="111" spans="1:29" ht="15.75">
      <c r="A111" s="52"/>
      <c r="B111" s="53"/>
      <c r="C111" s="54"/>
      <c r="D111" s="54"/>
      <c r="E111" s="54"/>
      <c r="F111" s="54"/>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row>
    <row r="112" spans="1:29" ht="15.75">
      <c r="A112" s="52"/>
      <c r="B112" s="53"/>
      <c r="C112" s="54"/>
      <c r="D112" s="54"/>
      <c r="E112" s="54"/>
      <c r="F112" s="54"/>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row>
    <row r="113" spans="1:29" ht="15.75">
      <c r="A113" s="52"/>
      <c r="B113" s="53"/>
      <c r="C113" s="54"/>
      <c r="D113" s="54"/>
      <c r="E113" s="54"/>
      <c r="F113" s="54"/>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row>
    <row r="114" spans="1:29" ht="15.75">
      <c r="A114" s="52"/>
      <c r="B114" s="53"/>
      <c r="C114" s="54"/>
      <c r="D114" s="54"/>
      <c r="E114" s="54"/>
      <c r="F114" s="54"/>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row>
    <row r="115" spans="1:29" ht="15.75">
      <c r="A115" s="52"/>
      <c r="B115" s="53"/>
      <c r="C115" s="54"/>
      <c r="D115" s="54"/>
      <c r="E115" s="54"/>
      <c r="F115" s="54"/>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row>
    <row r="116" spans="1:29" ht="15.75">
      <c r="A116" s="52"/>
      <c r="B116" s="53"/>
      <c r="C116" s="54"/>
      <c r="D116" s="54"/>
      <c r="E116" s="54"/>
      <c r="F116" s="54"/>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row>
    <row r="117" spans="1:29" ht="15.75">
      <c r="A117" s="52"/>
      <c r="B117" s="53"/>
      <c r="C117" s="54"/>
      <c r="D117" s="54"/>
      <c r="E117" s="54"/>
      <c r="F117" s="54"/>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row>
    <row r="118" spans="1:29" ht="15.75">
      <c r="A118" s="52"/>
      <c r="B118" s="53"/>
      <c r="C118" s="54"/>
      <c r="D118" s="54"/>
      <c r="E118" s="54"/>
      <c r="F118" s="54"/>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row>
    <row r="119" spans="1:29" ht="15.75">
      <c r="A119" s="52"/>
      <c r="B119" s="53"/>
      <c r="C119" s="54"/>
      <c r="D119" s="54"/>
      <c r="E119" s="54"/>
      <c r="F119" s="54"/>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row>
    <row r="120" spans="1:29" ht="15.75">
      <c r="A120" s="52"/>
      <c r="B120" s="53"/>
      <c r="C120" s="54"/>
      <c r="D120" s="54"/>
      <c r="E120" s="54"/>
      <c r="F120" s="54"/>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row>
    <row r="121" spans="1:29" ht="15.75">
      <c r="A121" s="52"/>
      <c r="B121" s="53"/>
      <c r="C121" s="54"/>
      <c r="D121" s="54"/>
      <c r="E121" s="54"/>
      <c r="F121" s="54"/>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row>
    <row r="122" spans="1:29" ht="15.75">
      <c r="A122" s="52"/>
      <c r="B122" s="53"/>
      <c r="C122" s="54"/>
      <c r="D122" s="54"/>
      <c r="E122" s="54"/>
      <c r="F122" s="54"/>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row>
    <row r="123" spans="1:29" ht="15.75">
      <c r="A123" s="52"/>
      <c r="B123" s="53"/>
      <c r="C123" s="54"/>
      <c r="D123" s="54"/>
      <c r="E123" s="54"/>
      <c r="F123" s="54"/>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row>
    <row r="124" spans="1:29" ht="15.75">
      <c r="A124" s="52"/>
      <c r="B124" s="53"/>
      <c r="C124" s="54"/>
      <c r="D124" s="54"/>
      <c r="E124" s="54"/>
      <c r="F124" s="54"/>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row>
    <row r="125" spans="1:29" ht="15.75">
      <c r="A125" s="52"/>
      <c r="B125" s="53"/>
      <c r="C125" s="54"/>
      <c r="D125" s="54"/>
      <c r="E125" s="54"/>
      <c r="F125" s="54"/>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row>
    <row r="126" spans="1:29" ht="15.75">
      <c r="A126" s="52"/>
      <c r="B126" s="53"/>
      <c r="C126" s="54"/>
      <c r="D126" s="54"/>
      <c r="E126" s="54"/>
      <c r="F126" s="54"/>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row>
    <row r="127" spans="1:29" ht="15.75">
      <c r="A127" s="52"/>
      <c r="B127" s="53"/>
      <c r="C127" s="54"/>
      <c r="D127" s="54"/>
      <c r="E127" s="54"/>
      <c r="F127" s="54"/>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row>
    <row r="128" spans="1:29" ht="15.75">
      <c r="A128" s="52"/>
      <c r="B128" s="53"/>
      <c r="C128" s="54"/>
      <c r="D128" s="54"/>
      <c r="E128" s="54"/>
      <c r="F128" s="54"/>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row>
    <row r="129" spans="1:29" ht="15.75">
      <c r="A129" s="52"/>
      <c r="B129" s="53"/>
      <c r="C129" s="54"/>
      <c r="D129" s="54"/>
      <c r="E129" s="54"/>
      <c r="F129" s="54"/>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row>
    <row r="130" spans="1:29" ht="15.75">
      <c r="A130" s="52"/>
      <c r="B130" s="53"/>
      <c r="C130" s="54"/>
      <c r="D130" s="54"/>
      <c r="E130" s="54"/>
      <c r="F130" s="54"/>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row>
    <row r="131" spans="1:29" ht="15.75">
      <c r="A131" s="52"/>
      <c r="B131" s="53"/>
      <c r="C131" s="54"/>
      <c r="D131" s="54"/>
      <c r="E131" s="54"/>
      <c r="F131" s="54"/>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row>
    <row r="132" spans="1:29" ht="15.75">
      <c r="A132" s="52"/>
      <c r="B132" s="53"/>
      <c r="C132" s="54"/>
      <c r="D132" s="54"/>
      <c r="E132" s="54"/>
      <c r="F132" s="54"/>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row>
    <row r="133" spans="1:29" ht="15.75">
      <c r="A133" s="52"/>
      <c r="B133" s="53"/>
      <c r="C133" s="54"/>
      <c r="D133" s="54"/>
      <c r="E133" s="54"/>
      <c r="F133" s="54"/>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row>
    <row r="134" spans="1:29" ht="15.75">
      <c r="A134" s="52"/>
      <c r="B134" s="53"/>
      <c r="C134" s="54"/>
      <c r="D134" s="54"/>
      <c r="E134" s="54"/>
      <c r="F134" s="54"/>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row>
    <row r="135" spans="1:29" ht="15.75">
      <c r="A135" s="52"/>
      <c r="B135" s="53"/>
      <c r="C135" s="54"/>
      <c r="D135" s="54"/>
      <c r="E135" s="54"/>
      <c r="F135" s="54"/>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row>
    <row r="136" spans="1:29" ht="15.75">
      <c r="A136" s="52"/>
      <c r="B136" s="53"/>
      <c r="C136" s="54"/>
      <c r="D136" s="54"/>
      <c r="E136" s="54"/>
      <c r="F136" s="54"/>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row>
    <row r="137" spans="1:29" ht="15.75">
      <c r="A137" s="52"/>
      <c r="B137" s="53"/>
      <c r="C137" s="54"/>
      <c r="D137" s="54"/>
      <c r="E137" s="54"/>
      <c r="F137" s="54"/>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row>
    <row r="138" spans="1:29" ht="15.75">
      <c r="A138" s="52"/>
      <c r="B138" s="53"/>
      <c r="C138" s="54"/>
      <c r="D138" s="54"/>
      <c r="E138" s="54"/>
      <c r="F138" s="54"/>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row>
    <row r="139" spans="1:29" ht="15.75">
      <c r="A139" s="52"/>
      <c r="B139" s="53"/>
      <c r="C139" s="54"/>
      <c r="D139" s="54"/>
      <c r="E139" s="54"/>
      <c r="F139" s="54"/>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row>
    <row r="140" spans="1:29" ht="15.75">
      <c r="A140" s="52"/>
      <c r="B140" s="53"/>
      <c r="C140" s="54"/>
      <c r="D140" s="54"/>
      <c r="E140" s="54"/>
      <c r="F140" s="54"/>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row>
    <row r="141" spans="1:29" ht="15.75">
      <c r="A141" s="52"/>
      <c r="B141" s="53"/>
      <c r="C141" s="54"/>
      <c r="D141" s="54"/>
      <c r="E141" s="54"/>
      <c r="F141" s="54"/>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row>
    <row r="142" spans="1:29" ht="15.75">
      <c r="A142" s="52"/>
      <c r="B142" s="53"/>
      <c r="C142" s="54"/>
      <c r="D142" s="54"/>
      <c r="E142" s="54"/>
      <c r="F142" s="54"/>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row>
    <row r="143" spans="1:29" ht="15.75">
      <c r="A143" s="52"/>
      <c r="B143" s="53"/>
      <c r="C143" s="54"/>
      <c r="D143" s="54"/>
      <c r="E143" s="54"/>
      <c r="F143" s="54"/>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row>
    <row r="144" spans="1:29" ht="15.75">
      <c r="A144" s="52"/>
      <c r="B144" s="53"/>
      <c r="C144" s="54"/>
      <c r="D144" s="54"/>
      <c r="E144" s="54"/>
      <c r="F144" s="54"/>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row>
    <row r="145" spans="1:29" ht="15.75">
      <c r="A145" s="52"/>
      <c r="B145" s="53"/>
      <c r="C145" s="54"/>
      <c r="D145" s="54"/>
      <c r="E145" s="54"/>
      <c r="F145" s="54"/>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row>
    <row r="146" spans="1:29" ht="15.75">
      <c r="A146" s="52"/>
      <c r="B146" s="53"/>
      <c r="C146" s="54"/>
      <c r="D146" s="54"/>
      <c r="E146" s="54"/>
      <c r="F146" s="54"/>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row>
    <row r="147" spans="1:29" ht="15.75">
      <c r="A147" s="52"/>
      <c r="B147" s="53"/>
      <c r="C147" s="54"/>
      <c r="D147" s="54"/>
      <c r="E147" s="54"/>
      <c r="F147" s="54"/>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row>
    <row r="148" spans="1:29" ht="15.75">
      <c r="A148" s="52"/>
      <c r="B148" s="53"/>
      <c r="C148" s="54"/>
      <c r="D148" s="54"/>
      <c r="E148" s="54"/>
      <c r="F148" s="54"/>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row>
    <row r="149" spans="1:29" ht="15.75">
      <c r="A149" s="52"/>
      <c r="B149" s="53"/>
      <c r="C149" s="54"/>
      <c r="D149" s="54"/>
      <c r="E149" s="54"/>
      <c r="F149" s="54"/>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row>
    <row r="150" spans="1:29" ht="15.75">
      <c r="A150" s="52"/>
      <c r="B150" s="53"/>
      <c r="C150" s="54"/>
      <c r="D150" s="54"/>
      <c r="E150" s="54"/>
      <c r="F150" s="54"/>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row>
    <row r="151" spans="1:29" ht="15.75">
      <c r="A151" s="52"/>
      <c r="B151" s="53"/>
      <c r="C151" s="54"/>
      <c r="D151" s="54"/>
      <c r="E151" s="54"/>
      <c r="F151" s="54"/>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row>
    <row r="152" spans="1:29" ht="15.75">
      <c r="A152" s="52"/>
      <c r="B152" s="53"/>
      <c r="C152" s="54"/>
      <c r="D152" s="54"/>
      <c r="E152" s="54"/>
      <c r="F152" s="54"/>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row>
    <row r="153" spans="1:29" ht="15.75">
      <c r="A153" s="52"/>
      <c r="B153" s="53"/>
      <c r="C153" s="54"/>
      <c r="D153" s="54"/>
      <c r="E153" s="54"/>
      <c r="F153" s="54"/>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row>
    <row r="154" spans="1:29" ht="15.75">
      <c r="A154" s="52"/>
      <c r="B154" s="53"/>
      <c r="C154" s="54"/>
      <c r="D154" s="54"/>
      <c r="E154" s="54"/>
      <c r="F154" s="54"/>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row>
    <row r="155" spans="1:29" ht="15.75">
      <c r="A155" s="52"/>
      <c r="B155" s="53"/>
      <c r="C155" s="54"/>
      <c r="D155" s="54"/>
      <c r="E155" s="54"/>
      <c r="F155" s="54"/>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row>
    <row r="156" spans="1:29" ht="15.75">
      <c r="A156" s="52"/>
      <c r="B156" s="53"/>
      <c r="C156" s="54"/>
      <c r="D156" s="54"/>
      <c r="E156" s="54"/>
      <c r="F156" s="54"/>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row>
    <row r="157" spans="1:29" ht="15.75">
      <c r="A157" s="52"/>
      <c r="B157" s="53"/>
      <c r="C157" s="54"/>
      <c r="D157" s="54"/>
      <c r="E157" s="54"/>
      <c r="F157" s="54"/>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row>
    <row r="158" spans="1:29" ht="15.75">
      <c r="A158" s="52"/>
      <c r="B158" s="53"/>
      <c r="C158" s="54"/>
      <c r="D158" s="54"/>
      <c r="E158" s="54"/>
      <c r="F158" s="54"/>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row>
    <row r="159" spans="1:29" ht="15.75">
      <c r="A159" s="52"/>
      <c r="B159" s="53"/>
      <c r="C159" s="54"/>
      <c r="D159" s="54"/>
      <c r="E159" s="54"/>
      <c r="F159" s="54"/>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row>
    <row r="160" spans="1:29" ht="15.75">
      <c r="A160" s="52"/>
      <c r="B160" s="53"/>
      <c r="C160" s="54"/>
      <c r="D160" s="54"/>
      <c r="E160" s="54"/>
      <c r="F160" s="54"/>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row>
    <row r="161" spans="1:29" ht="15.75">
      <c r="A161" s="52"/>
      <c r="B161" s="53"/>
      <c r="C161" s="54"/>
      <c r="D161" s="54"/>
      <c r="E161" s="54"/>
      <c r="F161" s="54"/>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row>
    <row r="162" spans="1:29" ht="15.75">
      <c r="A162" s="52"/>
      <c r="B162" s="53"/>
      <c r="C162" s="54"/>
      <c r="D162" s="54"/>
      <c r="E162" s="54"/>
      <c r="F162" s="54"/>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row>
    <row r="163" spans="1:29" ht="15.75">
      <c r="A163" s="52"/>
      <c r="B163" s="53"/>
      <c r="C163" s="54"/>
      <c r="D163" s="54"/>
      <c r="E163" s="54"/>
      <c r="F163" s="54"/>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row>
    <row r="164" spans="1:29" ht="15.75">
      <c r="A164" s="52"/>
      <c r="B164" s="53"/>
      <c r="C164" s="54"/>
      <c r="D164" s="54"/>
      <c r="E164" s="54"/>
      <c r="F164" s="54"/>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row>
    <row r="165" spans="1:29" ht="15.75">
      <c r="A165" s="52"/>
      <c r="B165" s="53"/>
      <c r="C165" s="54"/>
      <c r="D165" s="54"/>
      <c r="E165" s="54"/>
      <c r="F165" s="54"/>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row>
    <row r="166" spans="1:29" ht="15.75">
      <c r="A166" s="52"/>
      <c r="B166" s="53"/>
      <c r="C166" s="54"/>
      <c r="D166" s="54"/>
      <c r="E166" s="54"/>
      <c r="F166" s="54"/>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row>
    <row r="167" spans="1:29" ht="15.75">
      <c r="A167" s="52"/>
      <c r="B167" s="53"/>
      <c r="C167" s="54"/>
      <c r="D167" s="54"/>
      <c r="E167" s="54"/>
      <c r="F167" s="54"/>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row>
    <row r="168" spans="1:29" ht="15.75">
      <c r="A168" s="52"/>
      <c r="B168" s="53"/>
      <c r="C168" s="54"/>
      <c r="D168" s="54"/>
      <c r="E168" s="54"/>
      <c r="F168" s="54"/>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row>
    <row r="169" spans="1:29" ht="15.75">
      <c r="A169" s="52"/>
      <c r="B169" s="53"/>
      <c r="C169" s="54"/>
      <c r="D169" s="54"/>
      <c r="E169" s="54"/>
      <c r="F169" s="54"/>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row>
    <row r="170" spans="1:29" ht="15.75">
      <c r="A170" s="52"/>
      <c r="B170" s="53"/>
      <c r="C170" s="54"/>
      <c r="D170" s="54"/>
      <c r="E170" s="54"/>
      <c r="F170" s="54"/>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row>
    <row r="171" spans="1:29" ht="15.75">
      <c r="A171" s="52"/>
      <c r="B171" s="53"/>
      <c r="C171" s="54"/>
      <c r="D171" s="54"/>
      <c r="E171" s="54"/>
      <c r="F171" s="54"/>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row>
    <row r="172" spans="1:29" ht="15.75">
      <c r="A172" s="52"/>
      <c r="B172" s="53"/>
      <c r="C172" s="54"/>
      <c r="D172" s="54"/>
      <c r="E172" s="54"/>
      <c r="F172" s="54"/>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row>
    <row r="173" spans="1:29" ht="15.75">
      <c r="A173" s="52"/>
      <c r="B173" s="53"/>
      <c r="C173" s="54"/>
      <c r="D173" s="54"/>
      <c r="E173" s="54"/>
      <c r="F173" s="54"/>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row>
    <row r="174" spans="1:29" ht="15.75">
      <c r="A174" s="52"/>
      <c r="B174" s="53"/>
      <c r="C174" s="54"/>
      <c r="D174" s="54"/>
      <c r="E174" s="54"/>
      <c r="F174" s="54"/>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row>
    <row r="175" spans="1:29" ht="15.75">
      <c r="A175" s="52"/>
      <c r="B175" s="53"/>
      <c r="C175" s="54"/>
      <c r="D175" s="54"/>
      <c r="E175" s="54"/>
      <c r="F175" s="54"/>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row>
    <row r="176" spans="1:29" ht="15.75">
      <c r="A176" s="52"/>
      <c r="B176" s="53"/>
      <c r="C176" s="54"/>
      <c r="D176" s="54"/>
      <c r="E176" s="54"/>
      <c r="F176" s="54"/>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row>
    <row r="177" spans="1:29" ht="15.75">
      <c r="A177" s="52"/>
      <c r="B177" s="53"/>
      <c r="C177" s="54"/>
      <c r="D177" s="54"/>
      <c r="E177" s="54"/>
      <c r="F177" s="54"/>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row>
    <row r="178" spans="1:29" ht="15.75">
      <c r="A178" s="52"/>
      <c r="B178" s="53"/>
      <c r="C178" s="54"/>
      <c r="D178" s="54"/>
      <c r="E178" s="54"/>
      <c r="F178" s="54"/>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row>
    <row r="179" spans="1:29" ht="15.75">
      <c r="A179" s="52"/>
      <c r="B179" s="53"/>
      <c r="C179" s="54"/>
      <c r="D179" s="54"/>
      <c r="E179" s="54"/>
      <c r="F179" s="54"/>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row>
    <row r="180" spans="1:29" ht="15.75">
      <c r="A180" s="52"/>
      <c r="B180" s="53"/>
      <c r="C180" s="54"/>
      <c r="D180" s="54"/>
      <c r="E180" s="54"/>
      <c r="F180" s="54"/>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row>
    <row r="181" spans="1:29" ht="15.75">
      <c r="A181" s="52"/>
      <c r="B181" s="53"/>
      <c r="C181" s="54"/>
      <c r="D181" s="54"/>
      <c r="E181" s="54"/>
      <c r="F181" s="54"/>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row>
    <row r="182" spans="1:29" ht="15.75">
      <c r="A182" s="52"/>
      <c r="B182" s="53"/>
      <c r="C182" s="54"/>
      <c r="D182" s="54"/>
      <c r="E182" s="54"/>
      <c r="F182" s="54"/>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row>
    <row r="183" spans="1:29" ht="15.75">
      <c r="A183" s="52"/>
      <c r="B183" s="53"/>
      <c r="C183" s="54"/>
      <c r="D183" s="54"/>
      <c r="E183" s="54"/>
      <c r="F183" s="54"/>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row>
    <row r="184" spans="1:29" ht="15.75">
      <c r="A184" s="52"/>
      <c r="B184" s="53"/>
      <c r="C184" s="54"/>
      <c r="D184" s="54"/>
      <c r="E184" s="54"/>
      <c r="F184" s="54"/>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row>
    <row r="185" spans="1:29" ht="15.75">
      <c r="A185" s="52"/>
      <c r="B185" s="53"/>
      <c r="C185" s="54"/>
      <c r="D185" s="54"/>
      <c r="E185" s="54"/>
      <c r="F185" s="54"/>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row>
    <row r="186" spans="1:29" ht="15.75">
      <c r="A186" s="52"/>
      <c r="B186" s="53"/>
      <c r="C186" s="54"/>
      <c r="D186" s="54"/>
      <c r="E186" s="54"/>
      <c r="F186" s="54"/>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row>
    <row r="187" spans="1:29" ht="15.75">
      <c r="A187" s="52"/>
      <c r="B187" s="53"/>
      <c r="C187" s="54"/>
      <c r="D187" s="54"/>
      <c r="E187" s="54"/>
      <c r="F187" s="54"/>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row>
    <row r="188" spans="1:29" ht="15.75">
      <c r="A188" s="52"/>
      <c r="B188" s="53"/>
      <c r="C188" s="54"/>
      <c r="D188" s="54"/>
      <c r="E188" s="54"/>
      <c r="F188" s="54"/>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row>
    <row r="189" spans="1:29" ht="15.75">
      <c r="A189" s="52"/>
      <c r="B189" s="53"/>
      <c r="C189" s="54"/>
      <c r="D189" s="54"/>
      <c r="E189" s="54"/>
      <c r="F189" s="54"/>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row>
    <row r="190" spans="1:29" ht="15.75">
      <c r="A190" s="52"/>
      <c r="B190" s="53"/>
      <c r="C190" s="54"/>
      <c r="D190" s="54"/>
      <c r="E190" s="54"/>
      <c r="F190" s="54"/>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row>
    <row r="191" spans="1:29" ht="15.75">
      <c r="A191" s="52"/>
      <c r="B191" s="53"/>
      <c r="C191" s="54"/>
      <c r="D191" s="54"/>
      <c r="E191" s="54"/>
      <c r="F191" s="54"/>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row>
    <row r="192" spans="1:29" ht="15.75">
      <c r="A192" s="52"/>
      <c r="B192" s="53"/>
      <c r="C192" s="54"/>
      <c r="D192" s="54"/>
      <c r="E192" s="54"/>
      <c r="F192" s="54"/>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row>
    <row r="193" spans="1:29" ht="15.75">
      <c r="A193" s="52"/>
      <c r="B193" s="53"/>
      <c r="C193" s="54"/>
      <c r="D193" s="54"/>
      <c r="E193" s="54"/>
      <c r="F193" s="54"/>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row>
    <row r="194" spans="1:29" ht="15.75">
      <c r="A194" s="52"/>
      <c r="B194" s="53"/>
      <c r="C194" s="54"/>
      <c r="D194" s="54"/>
      <c r="E194" s="54"/>
      <c r="F194" s="54"/>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row>
    <row r="195" spans="1:29" ht="15.75">
      <c r="A195" s="52"/>
      <c r="B195" s="53"/>
      <c r="C195" s="54"/>
      <c r="D195" s="54"/>
      <c r="E195" s="54"/>
      <c r="F195" s="54"/>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row>
    <row r="196" spans="1:29" ht="15.75">
      <c r="A196" s="52"/>
      <c r="B196" s="53"/>
      <c r="C196" s="54"/>
      <c r="D196" s="54"/>
      <c r="E196" s="54"/>
      <c r="F196" s="54"/>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row>
    <row r="197" spans="1:29" ht="15.75">
      <c r="A197" s="52"/>
      <c r="B197" s="53"/>
      <c r="C197" s="54"/>
      <c r="D197" s="54"/>
      <c r="E197" s="54"/>
      <c r="F197" s="54"/>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row>
    <row r="198" spans="1:29" ht="15.75">
      <c r="A198" s="52"/>
      <c r="B198" s="53"/>
      <c r="C198" s="54"/>
      <c r="D198" s="54"/>
      <c r="E198" s="54"/>
      <c r="F198" s="54"/>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row>
    <row r="199" spans="1:29" ht="15.75">
      <c r="A199" s="52"/>
      <c r="B199" s="53"/>
      <c r="C199" s="54"/>
      <c r="D199" s="54"/>
      <c r="E199" s="54"/>
      <c r="F199" s="54"/>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row>
    <row r="200" spans="1:29" ht="15.75">
      <c r="A200" s="52"/>
      <c r="B200" s="53"/>
      <c r="C200" s="54"/>
      <c r="D200" s="54"/>
      <c r="E200" s="54"/>
      <c r="F200" s="54"/>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row>
    <row r="201" spans="1:29" ht="15.75">
      <c r="A201" s="52"/>
      <c r="B201" s="53"/>
      <c r="C201" s="54"/>
      <c r="D201" s="54"/>
      <c r="E201" s="54"/>
      <c r="F201" s="54"/>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row>
    <row r="202" spans="1:29" ht="15.75">
      <c r="A202" s="52"/>
      <c r="B202" s="53"/>
      <c r="C202" s="54"/>
      <c r="D202" s="54"/>
      <c r="E202" s="54"/>
      <c r="F202" s="54"/>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row>
    <row r="203" spans="1:29" ht="15.75">
      <c r="A203" s="52"/>
      <c r="B203" s="53"/>
      <c r="C203" s="54"/>
      <c r="D203" s="54"/>
      <c r="E203" s="54"/>
      <c r="F203" s="54"/>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row>
    <row r="204" spans="1:29" ht="15.75">
      <c r="A204" s="52"/>
      <c r="B204" s="53"/>
      <c r="C204" s="54"/>
      <c r="D204" s="54"/>
      <c r="E204" s="54"/>
      <c r="F204" s="54"/>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row>
    <row r="205" spans="1:29" ht="15.75">
      <c r="A205" s="52"/>
      <c r="B205" s="53"/>
      <c r="C205" s="54"/>
      <c r="D205" s="54"/>
      <c r="E205" s="54"/>
      <c r="F205" s="54"/>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row>
    <row r="206" spans="1:29" ht="15.75">
      <c r="A206" s="52"/>
      <c r="B206" s="53"/>
      <c r="C206" s="54"/>
      <c r="D206" s="54"/>
      <c r="E206" s="54"/>
      <c r="F206" s="54"/>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row>
    <row r="207" spans="1:29" ht="15.75">
      <c r="A207" s="52"/>
      <c r="B207" s="53"/>
      <c r="C207" s="54"/>
      <c r="D207" s="54"/>
      <c r="E207" s="54"/>
      <c r="F207" s="54"/>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row>
    <row r="208" spans="1:29" ht="15.75">
      <c r="A208" s="52"/>
      <c r="B208" s="53"/>
      <c r="C208" s="54"/>
      <c r="D208" s="54"/>
      <c r="E208" s="54"/>
      <c r="F208" s="54"/>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row>
    <row r="209" spans="1:29" ht="15.75">
      <c r="A209" s="52"/>
      <c r="B209" s="53"/>
      <c r="C209" s="54"/>
      <c r="D209" s="54"/>
      <c r="E209" s="54"/>
      <c r="F209" s="54"/>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row>
    <row r="210" spans="1:29" ht="15.75">
      <c r="A210" s="52"/>
      <c r="B210" s="53"/>
      <c r="C210" s="54"/>
      <c r="D210" s="54"/>
      <c r="E210" s="54"/>
      <c r="F210" s="54"/>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row>
    <row r="211" spans="1:29" ht="15.75">
      <c r="A211" s="52"/>
      <c r="B211" s="53"/>
      <c r="C211" s="54"/>
      <c r="D211" s="54"/>
      <c r="E211" s="54"/>
      <c r="F211" s="54"/>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row>
    <row r="212" spans="1:29" ht="15.75">
      <c r="A212" s="52"/>
      <c r="B212" s="53"/>
      <c r="C212" s="54"/>
      <c r="D212" s="54"/>
      <c r="E212" s="54"/>
      <c r="F212" s="54"/>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row>
    <row r="213" spans="1:29" ht="15.75">
      <c r="A213" s="52"/>
      <c r="B213" s="53"/>
      <c r="C213" s="54"/>
      <c r="D213" s="54"/>
      <c r="E213" s="54"/>
      <c r="F213" s="54"/>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row>
    <row r="214" spans="1:29" ht="15.75">
      <c r="A214" s="52"/>
      <c r="B214" s="53"/>
      <c r="C214" s="54"/>
      <c r="D214" s="54"/>
      <c r="E214" s="54"/>
      <c r="F214" s="54"/>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row>
    <row r="215" spans="1:29" ht="15.75">
      <c r="A215" s="52"/>
      <c r="B215" s="53"/>
      <c r="C215" s="54"/>
      <c r="D215" s="54"/>
      <c r="E215" s="54"/>
      <c r="F215" s="54"/>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row>
    <row r="216" spans="1:29" ht="15.75">
      <c r="A216" s="52"/>
      <c r="B216" s="53"/>
      <c r="C216" s="54"/>
      <c r="D216" s="54"/>
      <c r="E216" s="54"/>
      <c r="F216" s="54"/>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row>
    <row r="217" spans="1:29" ht="15.75">
      <c r="A217" s="52"/>
      <c r="B217" s="53"/>
      <c r="C217" s="54"/>
      <c r="D217" s="54"/>
      <c r="E217" s="54"/>
      <c r="F217" s="54"/>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row>
    <row r="218" spans="1:29" ht="15.75">
      <c r="A218" s="52"/>
      <c r="B218" s="53"/>
      <c r="C218" s="54"/>
      <c r="D218" s="54"/>
      <c r="E218" s="54"/>
      <c r="F218" s="54"/>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row>
    <row r="219" spans="1:29" ht="15.75">
      <c r="A219" s="52"/>
      <c r="B219" s="53"/>
      <c r="C219" s="54"/>
      <c r="D219" s="54"/>
      <c r="E219" s="54"/>
      <c r="F219" s="54"/>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row>
    <row r="220" spans="1:29" ht="15.75">
      <c r="A220" s="52"/>
      <c r="B220" s="53"/>
      <c r="C220" s="54"/>
      <c r="D220" s="54"/>
      <c r="E220" s="54"/>
      <c r="F220" s="54"/>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row>
    <row r="221" spans="1:29" ht="15.75">
      <c r="A221" s="52"/>
      <c r="B221" s="53"/>
      <c r="C221" s="54"/>
      <c r="D221" s="54"/>
      <c r="E221" s="54"/>
      <c r="F221" s="54"/>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row>
    <row r="222" spans="1:29" ht="15.75">
      <c r="A222" s="52"/>
      <c r="B222" s="53"/>
      <c r="C222" s="54"/>
      <c r="D222" s="54"/>
      <c r="E222" s="54"/>
      <c r="F222" s="54"/>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row>
    <row r="223" spans="1:29" ht="15.75">
      <c r="A223" s="52"/>
      <c r="B223" s="53"/>
      <c r="C223" s="54"/>
      <c r="D223" s="54"/>
      <c r="E223" s="54"/>
      <c r="F223" s="54"/>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row>
    <row r="224" spans="1:29" ht="15.75">
      <c r="A224" s="52"/>
      <c r="B224" s="53"/>
      <c r="C224" s="54"/>
      <c r="D224" s="54"/>
      <c r="E224" s="54"/>
      <c r="F224" s="54"/>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row>
    <row r="225" spans="1:29" ht="15.75">
      <c r="A225" s="52"/>
      <c r="B225" s="53"/>
      <c r="C225" s="54"/>
      <c r="D225" s="54"/>
      <c r="E225" s="54"/>
      <c r="F225" s="54"/>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row>
    <row r="226" spans="1:29" ht="15.75">
      <c r="A226" s="52"/>
      <c r="B226" s="53"/>
      <c r="C226" s="54"/>
      <c r="D226" s="54"/>
      <c r="E226" s="54"/>
      <c r="F226" s="54"/>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row>
    <row r="227" spans="1:29" ht="15.75">
      <c r="A227" s="52"/>
      <c r="B227" s="53"/>
      <c r="C227" s="54"/>
      <c r="D227" s="54"/>
      <c r="E227" s="54"/>
      <c r="F227" s="54"/>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row>
    <row r="228" spans="1:29" ht="15.75">
      <c r="A228" s="52"/>
      <c r="B228" s="53"/>
      <c r="C228" s="54"/>
      <c r="D228" s="54"/>
      <c r="E228" s="54"/>
      <c r="F228" s="54"/>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row>
    <row r="229" spans="1:29" ht="15.75">
      <c r="A229" s="52"/>
      <c r="B229" s="53"/>
      <c r="C229" s="54"/>
      <c r="D229" s="54"/>
      <c r="E229" s="54"/>
      <c r="F229" s="54"/>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row>
    <row r="230" spans="1:29" ht="15.75">
      <c r="A230" s="52"/>
      <c r="B230" s="53"/>
      <c r="C230" s="54"/>
      <c r="D230" s="54"/>
      <c r="E230" s="54"/>
      <c r="F230" s="54"/>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row>
    <row r="231" spans="1:29" ht="15.75">
      <c r="A231" s="52"/>
      <c r="B231" s="53"/>
      <c r="C231" s="54"/>
      <c r="D231" s="54"/>
      <c r="E231" s="54"/>
      <c r="F231" s="54"/>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row>
    <row r="232" spans="1:29" ht="15.75">
      <c r="A232" s="52"/>
      <c r="B232" s="53"/>
      <c r="C232" s="54"/>
      <c r="D232" s="54"/>
      <c r="E232" s="54"/>
      <c r="F232" s="54"/>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row>
    <row r="233" spans="1:29" ht="15.75">
      <c r="A233" s="52"/>
      <c r="B233" s="53"/>
      <c r="C233" s="54"/>
      <c r="D233" s="54"/>
      <c r="E233" s="54"/>
      <c r="F233" s="54"/>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row>
    <row r="234" spans="1:29" ht="15.75">
      <c r="A234" s="52"/>
      <c r="B234" s="53"/>
      <c r="C234" s="54"/>
      <c r="D234" s="54"/>
      <c r="E234" s="54"/>
      <c r="F234" s="54"/>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row>
    <row r="235" spans="1:29" ht="15.75">
      <c r="A235" s="52"/>
      <c r="B235" s="53"/>
      <c r="C235" s="54"/>
      <c r="D235" s="54"/>
      <c r="E235" s="54"/>
      <c r="F235" s="54"/>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row>
    <row r="236" spans="1:29" ht="15.75">
      <c r="A236" s="52"/>
      <c r="B236" s="53"/>
      <c r="C236" s="54"/>
      <c r="D236" s="54"/>
      <c r="E236" s="54"/>
      <c r="F236" s="54"/>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row>
    <row r="237" spans="1:29" ht="15.75">
      <c r="A237" s="52"/>
      <c r="B237" s="53"/>
      <c r="C237" s="54"/>
      <c r="D237" s="54"/>
      <c r="E237" s="54"/>
      <c r="F237" s="54"/>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row>
    <row r="238" spans="1:29" ht="15.75">
      <c r="A238" s="52"/>
      <c r="B238" s="53"/>
      <c r="C238" s="54"/>
      <c r="D238" s="54"/>
      <c r="E238" s="54"/>
      <c r="F238" s="54"/>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row>
    <row r="239" spans="1:29" ht="15.75">
      <c r="A239" s="52"/>
      <c r="B239" s="53"/>
      <c r="C239" s="54"/>
      <c r="D239" s="54"/>
      <c r="E239" s="54"/>
      <c r="F239" s="54"/>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row>
    <row r="240" spans="1:29" ht="15.75">
      <c r="A240" s="52"/>
      <c r="B240" s="53"/>
      <c r="C240" s="54"/>
      <c r="D240" s="54"/>
      <c r="E240" s="54"/>
      <c r="F240" s="54"/>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row>
    <row r="241" spans="1:29" ht="15.75">
      <c r="A241" s="52"/>
      <c r="B241" s="53"/>
      <c r="C241" s="54"/>
      <c r="D241" s="54"/>
      <c r="E241" s="54"/>
      <c r="F241" s="54"/>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row>
    <row r="242" spans="1:29" ht="15.75">
      <c r="A242" s="52"/>
      <c r="B242" s="53"/>
      <c r="C242" s="54"/>
      <c r="D242" s="54"/>
      <c r="E242" s="54"/>
      <c r="F242" s="54"/>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row>
    <row r="243" spans="1:29" ht="15.75">
      <c r="A243" s="52"/>
      <c r="B243" s="53"/>
      <c r="C243" s="54"/>
      <c r="D243" s="54"/>
      <c r="E243" s="54"/>
      <c r="F243" s="54"/>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row>
    <row r="244" spans="1:29" ht="15.75">
      <c r="A244" s="52"/>
      <c r="B244" s="53"/>
      <c r="C244" s="54"/>
      <c r="D244" s="54"/>
      <c r="E244" s="54"/>
      <c r="F244" s="54"/>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row>
    <row r="245" spans="1:29" ht="15.75">
      <c r="A245" s="52"/>
      <c r="B245" s="53"/>
      <c r="C245" s="54"/>
      <c r="D245" s="54"/>
      <c r="E245" s="54"/>
      <c r="F245" s="54"/>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row>
    <row r="246" spans="1:29" ht="15.75">
      <c r="A246" s="52"/>
      <c r="B246" s="53"/>
      <c r="C246" s="54"/>
      <c r="D246" s="54"/>
      <c r="E246" s="54"/>
      <c r="F246" s="54"/>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row>
    <row r="247" spans="1:29" ht="15.75">
      <c r="A247" s="52"/>
      <c r="B247" s="53"/>
      <c r="C247" s="54"/>
      <c r="D247" s="54"/>
      <c r="E247" s="54"/>
      <c r="F247" s="54"/>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row>
    <row r="248" spans="1:29" ht="15.75">
      <c r="A248" s="52"/>
      <c r="B248" s="53"/>
      <c r="C248" s="54"/>
      <c r="D248" s="54"/>
      <c r="E248" s="54"/>
      <c r="F248" s="54"/>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row>
    <row r="249" spans="1:29" ht="15.75">
      <c r="A249" s="52"/>
      <c r="B249" s="53"/>
      <c r="C249" s="54"/>
      <c r="D249" s="54"/>
      <c r="E249" s="54"/>
      <c r="F249" s="54"/>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row>
    <row r="250" spans="1:29" ht="15.75">
      <c r="A250" s="52"/>
      <c r="B250" s="53"/>
      <c r="C250" s="54"/>
      <c r="D250" s="54"/>
      <c r="E250" s="54"/>
      <c r="F250" s="54"/>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row>
    <row r="251" spans="1:29" ht="15.75">
      <c r="A251" s="52"/>
      <c r="B251" s="53"/>
      <c r="C251" s="54"/>
      <c r="D251" s="54"/>
      <c r="E251" s="54"/>
      <c r="F251" s="54"/>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row>
    <row r="252" spans="1:29" ht="15.75">
      <c r="A252" s="52"/>
      <c r="B252" s="53"/>
      <c r="C252" s="54"/>
      <c r="D252" s="54"/>
      <c r="E252" s="54"/>
      <c r="F252" s="54"/>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row>
    <row r="253" spans="1:29" ht="15.75">
      <c r="A253" s="52"/>
      <c r="B253" s="53"/>
      <c r="C253" s="54"/>
      <c r="D253" s="54"/>
      <c r="E253" s="54"/>
      <c r="F253" s="54"/>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row>
    <row r="254" spans="1:29" ht="15.75">
      <c r="A254" s="52"/>
      <c r="B254" s="53"/>
      <c r="C254" s="54"/>
      <c r="D254" s="54"/>
      <c r="E254" s="54"/>
      <c r="F254" s="54"/>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row>
    <row r="255" spans="1:29" ht="15.75">
      <c r="A255" s="52"/>
      <c r="B255" s="53"/>
      <c r="C255" s="54"/>
      <c r="D255" s="54"/>
      <c r="E255" s="54"/>
      <c r="F255" s="54"/>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row>
    <row r="256" spans="1:29" ht="15.75">
      <c r="A256" s="52"/>
      <c r="B256" s="53"/>
      <c r="C256" s="54"/>
      <c r="D256" s="54"/>
      <c r="E256" s="54"/>
      <c r="F256" s="54"/>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row>
    <row r="257" spans="1:29" ht="15.75">
      <c r="A257" s="52"/>
      <c r="B257" s="53"/>
      <c r="C257" s="54"/>
      <c r="D257" s="54"/>
      <c r="E257" s="54"/>
      <c r="F257" s="54"/>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row>
    <row r="258" spans="1:29" ht="15.75">
      <c r="A258" s="52"/>
      <c r="B258" s="53"/>
      <c r="C258" s="54"/>
      <c r="D258" s="54"/>
      <c r="E258" s="54"/>
      <c r="F258" s="54"/>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row>
    <row r="259" spans="1:29" ht="15.75">
      <c r="A259" s="52"/>
      <c r="B259" s="53"/>
      <c r="C259" s="54"/>
      <c r="D259" s="54"/>
      <c r="E259" s="54"/>
      <c r="F259" s="54"/>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row>
    <row r="260" spans="1:29" ht="15.75">
      <c r="A260" s="52"/>
      <c r="B260" s="53"/>
      <c r="C260" s="54"/>
      <c r="D260" s="54"/>
      <c r="E260" s="54"/>
      <c r="F260" s="54"/>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row>
    <row r="261" spans="1:29" ht="15.75">
      <c r="A261" s="52"/>
      <c r="B261" s="53"/>
      <c r="C261" s="54"/>
      <c r="D261" s="54"/>
      <c r="E261" s="54"/>
      <c r="F261" s="54"/>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row>
    <row r="262" spans="1:29" ht="15.75">
      <c r="A262" s="52"/>
      <c r="B262" s="53"/>
      <c r="C262" s="54"/>
      <c r="D262" s="54"/>
      <c r="E262" s="54"/>
      <c r="F262" s="54"/>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row>
    <row r="263" spans="1:29" ht="15.75">
      <c r="A263" s="52"/>
      <c r="B263" s="53"/>
      <c r="C263" s="54"/>
      <c r="D263" s="54"/>
      <c r="E263" s="54"/>
      <c r="F263" s="54"/>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row>
    <row r="264" spans="1:29" ht="15.75">
      <c r="A264" s="52"/>
      <c r="B264" s="53"/>
      <c r="C264" s="54"/>
      <c r="D264" s="54"/>
      <c r="E264" s="54"/>
      <c r="F264" s="54"/>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row>
    <row r="265" spans="1:29" ht="15.75">
      <c r="A265" s="52"/>
      <c r="B265" s="53"/>
      <c r="C265" s="54"/>
      <c r="D265" s="54"/>
      <c r="E265" s="54"/>
      <c r="F265" s="54"/>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row>
    <row r="266" spans="1:29" ht="15.75">
      <c r="A266" s="52"/>
      <c r="B266" s="53"/>
      <c r="C266" s="54"/>
      <c r="D266" s="54"/>
      <c r="E266" s="54"/>
      <c r="F266" s="54"/>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row>
    <row r="267" spans="1:29" ht="15.75">
      <c r="A267" s="52"/>
      <c r="B267" s="53"/>
      <c r="C267" s="54"/>
      <c r="D267" s="54"/>
      <c r="E267" s="54"/>
      <c r="F267" s="54"/>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row>
    <row r="268" spans="1:29" ht="15.75">
      <c r="A268" s="52"/>
      <c r="B268" s="53"/>
      <c r="C268" s="54"/>
      <c r="D268" s="54"/>
      <c r="E268" s="54"/>
      <c r="F268" s="54"/>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row>
    <row r="269" spans="1:29" ht="15.75">
      <c r="A269" s="52"/>
      <c r="B269" s="53"/>
      <c r="C269" s="54"/>
      <c r="D269" s="54"/>
      <c r="E269" s="54"/>
      <c r="F269" s="54"/>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row>
    <row r="270" spans="1:29" ht="15.75">
      <c r="A270" s="52"/>
      <c r="B270" s="53"/>
      <c r="C270" s="54"/>
      <c r="D270" s="54"/>
      <c r="E270" s="54"/>
      <c r="F270" s="54"/>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row>
    <row r="271" spans="1:29" ht="15.75">
      <c r="A271" s="52"/>
      <c r="B271" s="53"/>
      <c r="C271" s="54"/>
      <c r="D271" s="54"/>
      <c r="E271" s="54"/>
      <c r="F271" s="54"/>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row>
    <row r="272" spans="1:29" ht="15.75">
      <c r="A272" s="52"/>
      <c r="B272" s="53"/>
      <c r="C272" s="54"/>
      <c r="D272" s="54"/>
      <c r="E272" s="54"/>
      <c r="F272" s="54"/>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row>
    <row r="273" spans="1:29" ht="15.75">
      <c r="A273" s="52"/>
      <c r="B273" s="53"/>
      <c r="C273" s="54"/>
      <c r="D273" s="54"/>
      <c r="E273" s="54"/>
      <c r="F273" s="54"/>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row>
    <row r="274" spans="1:29" ht="15.75">
      <c r="A274" s="52"/>
      <c r="B274" s="53"/>
      <c r="C274" s="54"/>
      <c r="D274" s="54"/>
      <c r="E274" s="54"/>
      <c r="F274" s="54"/>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row>
    <row r="275" spans="1:29" ht="15.75">
      <c r="A275" s="52"/>
      <c r="B275" s="53"/>
      <c r="C275" s="54"/>
      <c r="D275" s="54"/>
      <c r="E275" s="54"/>
      <c r="F275" s="54"/>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row>
    <row r="276" spans="1:29" ht="15.75">
      <c r="A276" s="52"/>
      <c r="B276" s="53"/>
      <c r="C276" s="54"/>
      <c r="D276" s="54"/>
      <c r="E276" s="54"/>
      <c r="F276" s="54"/>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row>
    <row r="277" spans="1:29" ht="15.75">
      <c r="A277" s="52"/>
      <c r="B277" s="53"/>
      <c r="C277" s="54"/>
      <c r="D277" s="54"/>
      <c r="E277" s="54"/>
      <c r="F277" s="54"/>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row>
    <row r="278" spans="1:29" ht="15.75">
      <c r="A278" s="52"/>
      <c r="B278" s="53"/>
      <c r="C278" s="54"/>
      <c r="D278" s="54"/>
      <c r="E278" s="54"/>
      <c r="F278" s="54"/>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row>
    <row r="279" spans="1:29" ht="15.75">
      <c r="A279" s="52"/>
      <c r="B279" s="53"/>
      <c r="C279" s="54"/>
      <c r="D279" s="54"/>
      <c r="E279" s="54"/>
      <c r="F279" s="54"/>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row>
    <row r="280" spans="1:29" ht="15.75">
      <c r="A280" s="52"/>
      <c r="B280" s="53"/>
      <c r="C280" s="54"/>
      <c r="D280" s="54"/>
      <c r="E280" s="54"/>
      <c r="F280" s="54"/>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row>
    <row r="281" spans="1:29" ht="15.75">
      <c r="A281" s="52"/>
      <c r="B281" s="53"/>
      <c r="C281" s="54"/>
      <c r="D281" s="54"/>
      <c r="E281" s="54"/>
      <c r="F281" s="54"/>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row>
    <row r="282" spans="1:29" ht="15.75">
      <c r="A282" s="52"/>
      <c r="B282" s="53"/>
      <c r="C282" s="54"/>
      <c r="D282" s="54"/>
      <c r="E282" s="54"/>
      <c r="F282" s="54"/>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row>
    <row r="283" spans="1:29" ht="15.75">
      <c r="A283" s="52"/>
      <c r="B283" s="53"/>
      <c r="C283" s="54"/>
      <c r="D283" s="54"/>
      <c r="E283" s="54"/>
      <c r="F283" s="54"/>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row>
    <row r="284" spans="1:29" ht="15.75">
      <c r="A284" s="52"/>
      <c r="B284" s="53"/>
      <c r="C284" s="54"/>
      <c r="D284" s="54"/>
      <c r="E284" s="54"/>
      <c r="F284" s="54"/>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row>
    <row r="285" spans="1:29" ht="15.75">
      <c r="A285" s="52"/>
      <c r="B285" s="53"/>
      <c r="C285" s="54"/>
      <c r="D285" s="54"/>
      <c r="E285" s="54"/>
      <c r="F285" s="54"/>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row>
    <row r="286" spans="1:29" ht="15.75">
      <c r="A286" s="52"/>
      <c r="B286" s="53"/>
      <c r="C286" s="54"/>
      <c r="D286" s="54"/>
      <c r="E286" s="54"/>
      <c r="F286" s="54"/>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row>
    <row r="287" spans="1:29" ht="15.75">
      <c r="A287" s="52"/>
      <c r="B287" s="53"/>
      <c r="C287" s="54"/>
      <c r="D287" s="54"/>
      <c r="E287" s="54"/>
      <c r="F287" s="54"/>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row>
    <row r="288" spans="1:29" ht="15.75">
      <c r="A288" s="52"/>
      <c r="B288" s="53"/>
      <c r="C288" s="54"/>
      <c r="D288" s="54"/>
      <c r="E288" s="54"/>
      <c r="F288" s="54"/>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row>
    <row r="289" spans="1:29" ht="15.75">
      <c r="A289" s="52"/>
      <c r="B289" s="53"/>
      <c r="C289" s="54"/>
      <c r="D289" s="54"/>
      <c r="E289" s="54"/>
      <c r="F289" s="54"/>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row>
    <row r="290" spans="1:29" ht="15.75">
      <c r="A290" s="52"/>
      <c r="B290" s="53"/>
      <c r="C290" s="54"/>
      <c r="D290" s="54"/>
      <c r="E290" s="54"/>
      <c r="F290" s="54"/>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row>
    <row r="291" spans="1:29" ht="15.75">
      <c r="A291" s="52"/>
      <c r="B291" s="53"/>
      <c r="C291" s="54"/>
      <c r="D291" s="54"/>
      <c r="E291" s="54"/>
      <c r="F291" s="54"/>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row>
    <row r="292" spans="1:29" ht="15.75">
      <c r="A292" s="52"/>
      <c r="B292" s="53"/>
      <c r="C292" s="54"/>
      <c r="D292" s="54"/>
      <c r="E292" s="54"/>
      <c r="F292" s="54"/>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row>
    <row r="293" spans="1:29" ht="15.75">
      <c r="A293" s="52"/>
      <c r="B293" s="53"/>
      <c r="C293" s="54"/>
      <c r="D293" s="54"/>
      <c r="E293" s="54"/>
      <c r="F293" s="54"/>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row>
    <row r="294" spans="1:29" ht="15.75">
      <c r="A294" s="52"/>
      <c r="B294" s="53"/>
      <c r="C294" s="54"/>
      <c r="D294" s="54"/>
      <c r="E294" s="54"/>
      <c r="F294" s="54"/>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row>
    <row r="295" spans="1:29" ht="15.75">
      <c r="A295" s="52"/>
      <c r="B295" s="53"/>
      <c r="C295" s="54"/>
      <c r="D295" s="54"/>
      <c r="E295" s="54"/>
      <c r="F295" s="54"/>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row>
    <row r="296" spans="1:29" ht="15.75">
      <c r="A296" s="52"/>
      <c r="B296" s="53"/>
      <c r="C296" s="54"/>
      <c r="D296" s="54"/>
      <c r="E296" s="54"/>
      <c r="F296" s="54"/>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row>
    <row r="297" spans="1:29" ht="15.75">
      <c r="A297" s="52"/>
      <c r="B297" s="53"/>
      <c r="C297" s="54"/>
      <c r="D297" s="54"/>
      <c r="E297" s="54"/>
      <c r="F297" s="54"/>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row>
    <row r="298" spans="1:29" ht="15.75">
      <c r="A298" s="52"/>
      <c r="B298" s="53"/>
      <c r="C298" s="54"/>
      <c r="D298" s="54"/>
      <c r="E298" s="54"/>
      <c r="F298" s="54"/>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row>
    <row r="299" spans="1:29" ht="15.75">
      <c r="A299" s="52"/>
      <c r="B299" s="53"/>
      <c r="C299" s="54"/>
      <c r="D299" s="54"/>
      <c r="E299" s="54"/>
      <c r="F299" s="54"/>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row>
    <row r="300" spans="1:29" ht="15.75">
      <c r="A300" s="52"/>
      <c r="B300" s="53"/>
      <c r="C300" s="54"/>
      <c r="D300" s="54"/>
      <c r="E300" s="54"/>
      <c r="F300" s="54"/>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row>
    <row r="301" spans="1:29" ht="15.75">
      <c r="A301" s="52"/>
      <c r="B301" s="53"/>
      <c r="C301" s="54"/>
      <c r="D301" s="54"/>
      <c r="E301" s="54"/>
      <c r="F301" s="54"/>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row>
    <row r="302" spans="1:29" ht="15.75">
      <c r="A302" s="52"/>
      <c r="B302" s="53"/>
      <c r="C302" s="54"/>
      <c r="D302" s="54"/>
      <c r="E302" s="54"/>
      <c r="F302" s="54"/>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row>
    <row r="303" spans="1:29" ht="15.75">
      <c r="A303" s="52"/>
      <c r="B303" s="53"/>
      <c r="C303" s="54"/>
      <c r="D303" s="54"/>
      <c r="E303" s="54"/>
      <c r="F303" s="54"/>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row>
    <row r="304" spans="1:29" ht="15.75">
      <c r="A304" s="52"/>
      <c r="B304" s="53"/>
      <c r="C304" s="54"/>
      <c r="D304" s="54"/>
      <c r="E304" s="54"/>
      <c r="F304" s="54"/>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row>
    <row r="305" spans="1:29" ht="15.75">
      <c r="A305" s="52"/>
      <c r="B305" s="53"/>
      <c r="C305" s="54"/>
      <c r="D305" s="54"/>
      <c r="E305" s="54"/>
      <c r="F305" s="54"/>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row>
    <row r="306" spans="1:29" ht="15.75">
      <c r="A306" s="52"/>
      <c r="B306" s="53"/>
      <c r="C306" s="54"/>
      <c r="D306" s="54"/>
      <c r="E306" s="54"/>
      <c r="F306" s="54"/>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row>
    <row r="307" spans="1:29" ht="15.75">
      <c r="A307" s="52"/>
      <c r="B307" s="53"/>
      <c r="C307" s="54"/>
      <c r="D307" s="54"/>
      <c r="E307" s="54"/>
      <c r="F307" s="54"/>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row>
    <row r="308" spans="1:29" ht="15.75">
      <c r="A308" s="52"/>
      <c r="B308" s="53"/>
      <c r="C308" s="54"/>
      <c r="D308" s="54"/>
      <c r="E308" s="54"/>
      <c r="F308" s="54"/>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row>
    <row r="309" spans="1:29" ht="15.75">
      <c r="A309" s="52"/>
      <c r="B309" s="53"/>
      <c r="C309" s="54"/>
      <c r="D309" s="54"/>
      <c r="E309" s="54"/>
      <c r="F309" s="54"/>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row>
    <row r="310" spans="1:29" ht="15.75">
      <c r="A310" s="52"/>
      <c r="B310" s="53"/>
      <c r="C310" s="54"/>
      <c r="D310" s="54"/>
      <c r="E310" s="54"/>
      <c r="F310" s="54"/>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row>
    <row r="311" spans="1:29" ht="15.75">
      <c r="A311" s="52"/>
      <c r="B311" s="53"/>
      <c r="C311" s="54"/>
      <c r="D311" s="54"/>
      <c r="E311" s="54"/>
      <c r="F311" s="54"/>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row>
    <row r="312" spans="1:29" ht="15.75">
      <c r="A312" s="52"/>
      <c r="B312" s="53"/>
      <c r="C312" s="54"/>
      <c r="D312" s="54"/>
      <c r="E312" s="54"/>
      <c r="F312" s="54"/>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row>
    <row r="313" spans="1:29" ht="15.75">
      <c r="A313" s="52"/>
      <c r="B313" s="53"/>
      <c r="C313" s="54"/>
      <c r="D313" s="54"/>
      <c r="E313" s="54"/>
      <c r="F313" s="54"/>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row>
    <row r="314" spans="1:29" ht="15.75">
      <c r="A314" s="52"/>
      <c r="B314" s="53"/>
      <c r="C314" s="54"/>
      <c r="D314" s="54"/>
      <c r="E314" s="54"/>
      <c r="F314" s="54"/>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row>
    <row r="315" spans="1:29" ht="15.75">
      <c r="A315" s="52"/>
      <c r="B315" s="53"/>
      <c r="C315" s="54"/>
      <c r="D315" s="54"/>
      <c r="E315" s="54"/>
      <c r="F315" s="54"/>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row>
    <row r="316" spans="1:29" ht="15.75">
      <c r="A316" s="52"/>
      <c r="B316" s="53"/>
      <c r="C316" s="54"/>
      <c r="D316" s="54"/>
      <c r="E316" s="54"/>
      <c r="F316" s="54"/>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row>
    <row r="317" spans="1:29" ht="15.75">
      <c r="A317" s="52"/>
      <c r="B317" s="53"/>
      <c r="C317" s="54"/>
      <c r="D317" s="54"/>
      <c r="E317" s="54"/>
      <c r="F317" s="54"/>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row>
    <row r="318" spans="1:29" ht="15.75">
      <c r="A318" s="52"/>
      <c r="B318" s="53"/>
      <c r="C318" s="54"/>
      <c r="D318" s="54"/>
      <c r="E318" s="54"/>
      <c r="F318" s="54"/>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row>
    <row r="319" spans="1:29" ht="15.75">
      <c r="A319" s="52"/>
      <c r="B319" s="53"/>
      <c r="C319" s="54"/>
      <c r="D319" s="54"/>
      <c r="E319" s="54"/>
      <c r="F319" s="54"/>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row>
    <row r="320" spans="1:29" ht="15.75">
      <c r="A320" s="52"/>
      <c r="B320" s="53"/>
      <c r="C320" s="54"/>
      <c r="D320" s="54"/>
      <c r="E320" s="54"/>
      <c r="F320" s="54"/>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row>
    <row r="321" spans="1:29" ht="15.75">
      <c r="A321" s="52"/>
      <c r="B321" s="53"/>
      <c r="C321" s="54"/>
      <c r="D321" s="54"/>
      <c r="E321" s="54"/>
      <c r="F321" s="54"/>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row>
    <row r="322" spans="1:29" ht="15.75">
      <c r="A322" s="52"/>
      <c r="B322" s="53"/>
      <c r="C322" s="54"/>
      <c r="D322" s="54"/>
      <c r="E322" s="54"/>
      <c r="F322" s="54"/>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row>
    <row r="323" spans="1:29" ht="15.75">
      <c r="A323" s="52"/>
      <c r="B323" s="53"/>
      <c r="C323" s="54"/>
      <c r="D323" s="54"/>
      <c r="E323" s="54"/>
      <c r="F323" s="54"/>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row>
    <row r="324" spans="1:29" ht="15.75">
      <c r="A324" s="52"/>
      <c r="B324" s="53"/>
      <c r="C324" s="54"/>
      <c r="D324" s="54"/>
      <c r="E324" s="54"/>
      <c r="F324" s="54"/>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row>
    <row r="325" spans="1:29" ht="15.75">
      <c r="A325" s="52"/>
      <c r="B325" s="53"/>
      <c r="C325" s="54"/>
      <c r="D325" s="54"/>
      <c r="E325" s="54"/>
      <c r="F325" s="54"/>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row>
    <row r="326" spans="1:29" ht="15.75">
      <c r="A326" s="52"/>
      <c r="B326" s="53"/>
      <c r="C326" s="54"/>
      <c r="D326" s="54"/>
      <c r="E326" s="54"/>
      <c r="F326" s="54"/>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row>
    <row r="327" spans="1:29" ht="15.75">
      <c r="A327" s="52"/>
      <c r="B327" s="53"/>
      <c r="C327" s="54"/>
      <c r="D327" s="54"/>
      <c r="E327" s="54"/>
      <c r="F327" s="54"/>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row>
    <row r="328" spans="1:29" ht="15.75">
      <c r="A328" s="52"/>
      <c r="B328" s="53"/>
      <c r="C328" s="54"/>
      <c r="D328" s="54"/>
      <c r="E328" s="54"/>
      <c r="F328" s="54"/>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row>
    <row r="329" spans="1:29" ht="15.75">
      <c r="A329" s="52"/>
      <c r="B329" s="53"/>
      <c r="C329" s="54"/>
      <c r="D329" s="54"/>
      <c r="E329" s="54"/>
      <c r="F329" s="54"/>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row>
    <row r="330" spans="1:29" ht="15.75">
      <c r="A330" s="52"/>
      <c r="B330" s="53"/>
      <c r="C330" s="54"/>
      <c r="D330" s="54"/>
      <c r="E330" s="54"/>
      <c r="F330" s="54"/>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row>
    <row r="331" spans="1:29" ht="15.75">
      <c r="A331" s="52"/>
      <c r="B331" s="53"/>
      <c r="C331" s="54"/>
      <c r="D331" s="54"/>
      <c r="E331" s="54"/>
      <c r="F331" s="54"/>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row>
    <row r="332" spans="1:29" ht="15.75">
      <c r="A332" s="52"/>
      <c r="B332" s="53"/>
      <c r="C332" s="54"/>
      <c r="D332" s="54"/>
      <c r="E332" s="54"/>
      <c r="F332" s="54"/>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row>
    <row r="333" spans="1:29" ht="15.75">
      <c r="A333" s="52"/>
      <c r="B333" s="53"/>
      <c r="C333" s="54"/>
      <c r="D333" s="54"/>
      <c r="E333" s="54"/>
      <c r="F333" s="54"/>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row>
    <row r="334" spans="1:29" ht="15.75">
      <c r="A334" s="52"/>
      <c r="B334" s="53"/>
      <c r="C334" s="54"/>
      <c r="D334" s="54"/>
      <c r="E334" s="54"/>
      <c r="F334" s="54"/>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row>
    <row r="335" spans="1:29" ht="15.75">
      <c r="A335" s="52"/>
      <c r="B335" s="53"/>
      <c r="C335" s="54"/>
      <c r="D335" s="54"/>
      <c r="E335" s="54"/>
      <c r="F335" s="54"/>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row>
    <row r="336" spans="1:29" ht="15.75">
      <c r="A336" s="52"/>
      <c r="B336" s="53"/>
      <c r="C336" s="54"/>
      <c r="D336" s="54"/>
      <c r="E336" s="54"/>
      <c r="F336" s="54"/>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row>
    <row r="337" spans="1:29" ht="15.75">
      <c r="A337" s="52"/>
      <c r="B337" s="53"/>
      <c r="C337" s="54"/>
      <c r="D337" s="54"/>
      <c r="E337" s="54"/>
      <c r="F337" s="54"/>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row>
    <row r="338" spans="1:29" ht="15.75">
      <c r="A338" s="52"/>
      <c r="B338" s="53"/>
      <c r="C338" s="54"/>
      <c r="D338" s="54"/>
      <c r="E338" s="54"/>
      <c r="F338" s="54"/>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row>
    <row r="339" spans="1:29" ht="15.75">
      <c r="A339" s="52"/>
      <c r="B339" s="53"/>
      <c r="C339" s="54"/>
      <c r="D339" s="54"/>
      <c r="E339" s="54"/>
      <c r="F339" s="54"/>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row>
    <row r="340" spans="1:29" ht="15.75">
      <c r="A340" s="52"/>
      <c r="B340" s="53"/>
      <c r="C340" s="54"/>
      <c r="D340" s="54"/>
      <c r="E340" s="54"/>
      <c r="F340" s="54"/>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row>
    <row r="341" spans="1:29" ht="15.75">
      <c r="A341" s="52"/>
      <c r="B341" s="53"/>
      <c r="C341" s="54"/>
      <c r="D341" s="54"/>
      <c r="E341" s="54"/>
      <c r="F341" s="54"/>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row>
    <row r="342" spans="1:29" ht="15.75">
      <c r="A342" s="52"/>
      <c r="B342" s="53"/>
      <c r="C342" s="54"/>
      <c r="D342" s="54"/>
      <c r="E342" s="54"/>
      <c r="F342" s="54"/>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row>
    <row r="343" spans="1:29" ht="15.75">
      <c r="A343" s="52"/>
      <c r="B343" s="53"/>
      <c r="C343" s="54"/>
      <c r="D343" s="54"/>
      <c r="E343" s="54"/>
      <c r="F343" s="54"/>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row>
    <row r="344" spans="1:29" ht="15.75">
      <c r="A344" s="52"/>
      <c r="B344" s="53"/>
      <c r="C344" s="54"/>
      <c r="D344" s="54"/>
      <c r="E344" s="54"/>
      <c r="F344" s="54"/>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row>
    <row r="345" spans="1:29" ht="15.75">
      <c r="A345" s="52"/>
      <c r="B345" s="53"/>
      <c r="C345" s="54"/>
      <c r="D345" s="54"/>
      <c r="E345" s="54"/>
      <c r="F345" s="54"/>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row>
    <row r="346" spans="1:29" ht="15.75">
      <c r="A346" s="52"/>
      <c r="B346" s="53"/>
      <c r="C346" s="54"/>
      <c r="D346" s="54"/>
      <c r="E346" s="54"/>
      <c r="F346" s="54"/>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row>
    <row r="347" spans="1:29" ht="15.75">
      <c r="A347" s="52"/>
      <c r="B347" s="53"/>
      <c r="C347" s="54"/>
      <c r="D347" s="54"/>
      <c r="E347" s="54"/>
      <c r="F347" s="54"/>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row>
    <row r="348" spans="1:29" ht="15.75">
      <c r="A348" s="52"/>
      <c r="B348" s="53"/>
      <c r="C348" s="54"/>
      <c r="D348" s="54"/>
      <c r="E348" s="54"/>
      <c r="F348" s="54"/>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row>
    <row r="349" spans="1:29" ht="15.75">
      <c r="A349" s="52"/>
      <c r="B349" s="53"/>
      <c r="C349" s="54"/>
      <c r="D349" s="54"/>
      <c r="E349" s="54"/>
      <c r="F349" s="54"/>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row>
    <row r="350" spans="1:29" ht="15.75">
      <c r="A350" s="52"/>
      <c r="B350" s="53"/>
      <c r="C350" s="54"/>
      <c r="D350" s="54"/>
      <c r="E350" s="54"/>
      <c r="F350" s="54"/>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row>
    <row r="351" spans="1:29" ht="15.75">
      <c r="A351" s="52"/>
      <c r="B351" s="53"/>
      <c r="C351" s="54"/>
      <c r="D351" s="54"/>
      <c r="E351" s="54"/>
      <c r="F351" s="54"/>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row>
    <row r="352" spans="1:29" ht="15.75">
      <c r="A352" s="52"/>
      <c r="B352" s="53"/>
      <c r="C352" s="54"/>
      <c r="D352" s="54"/>
      <c r="E352" s="54"/>
      <c r="F352" s="54"/>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row>
    <row r="353" spans="1:29" ht="15.75">
      <c r="A353" s="52"/>
      <c r="B353" s="53"/>
      <c r="C353" s="54"/>
      <c r="D353" s="54"/>
      <c r="E353" s="54"/>
      <c r="F353" s="54"/>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row>
    <row r="354" spans="1:29" ht="15.75">
      <c r="A354" s="52"/>
      <c r="B354" s="53"/>
      <c r="C354" s="54"/>
      <c r="D354" s="54"/>
      <c r="E354" s="54"/>
      <c r="F354" s="54"/>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row>
    <row r="355" spans="1:29" ht="15.75">
      <c r="A355" s="52"/>
      <c r="B355" s="53"/>
      <c r="C355" s="54"/>
      <c r="D355" s="54"/>
      <c r="E355" s="54"/>
      <c r="F355" s="54"/>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row>
    <row r="356" spans="1:29" ht="15.75">
      <c r="A356" s="52"/>
      <c r="B356" s="53"/>
      <c r="C356" s="54"/>
      <c r="D356" s="54"/>
      <c r="E356" s="54"/>
      <c r="F356" s="54"/>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row>
    <row r="357" spans="1:29" ht="15.75">
      <c r="A357" s="52"/>
      <c r="B357" s="53"/>
      <c r="C357" s="54"/>
      <c r="D357" s="54"/>
      <c r="E357" s="54"/>
      <c r="F357" s="54"/>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row>
    <row r="358" spans="1:29" ht="15.75">
      <c r="A358" s="52"/>
      <c r="B358" s="53"/>
      <c r="C358" s="54"/>
      <c r="D358" s="54"/>
      <c r="E358" s="54"/>
      <c r="F358" s="54"/>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row>
    <row r="359" spans="1:29" ht="15.75">
      <c r="A359" s="52"/>
      <c r="B359" s="53"/>
      <c r="C359" s="54"/>
      <c r="D359" s="54"/>
      <c r="E359" s="54"/>
      <c r="F359" s="54"/>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row>
    <row r="360" spans="1:29" ht="15.75">
      <c r="A360" s="52"/>
      <c r="B360" s="53"/>
      <c r="C360" s="54"/>
      <c r="D360" s="54"/>
      <c r="E360" s="54"/>
      <c r="F360" s="54"/>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row>
    <row r="361" spans="1:29" ht="15.75">
      <c r="A361" s="52"/>
      <c r="B361" s="53"/>
      <c r="C361" s="54"/>
      <c r="D361" s="54"/>
      <c r="E361" s="54"/>
      <c r="F361" s="54"/>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row>
    <row r="362" spans="1:29" ht="15.75">
      <c r="A362" s="52"/>
      <c r="B362" s="53"/>
      <c r="C362" s="54"/>
      <c r="D362" s="54"/>
      <c r="E362" s="54"/>
      <c r="F362" s="54"/>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row>
    <row r="363" spans="1:29" ht="15.75">
      <c r="A363" s="52"/>
      <c r="B363" s="53"/>
      <c r="C363" s="54"/>
      <c r="D363" s="54"/>
      <c r="E363" s="54"/>
      <c r="F363" s="54"/>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row>
    <row r="364" spans="1:29" ht="15.75">
      <c r="A364" s="52"/>
      <c r="B364" s="53"/>
      <c r="C364" s="54"/>
      <c r="D364" s="54"/>
      <c r="E364" s="54"/>
      <c r="F364" s="54"/>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row>
    <row r="365" spans="1:29" ht="15.75">
      <c r="A365" s="52"/>
      <c r="B365" s="53"/>
      <c r="C365" s="54"/>
      <c r="D365" s="54"/>
      <c r="E365" s="54"/>
      <c r="F365" s="54"/>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row>
    <row r="366" spans="1:29" ht="15.75">
      <c r="A366" s="52"/>
      <c r="B366" s="53"/>
      <c r="C366" s="54"/>
      <c r="D366" s="54"/>
      <c r="E366" s="54"/>
      <c r="F366" s="54"/>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row>
    <row r="367" spans="1:29" ht="15.75">
      <c r="A367" s="52"/>
      <c r="B367" s="53"/>
      <c r="C367" s="54"/>
      <c r="D367" s="54"/>
      <c r="E367" s="54"/>
      <c r="F367" s="54"/>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row>
    <row r="368" spans="1:29" ht="15.75">
      <c r="A368" s="52"/>
      <c r="B368" s="53"/>
      <c r="C368" s="54"/>
      <c r="D368" s="54"/>
      <c r="E368" s="54"/>
      <c r="F368" s="54"/>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row>
    <row r="369" spans="1:29" ht="15.75">
      <c r="A369" s="52"/>
      <c r="B369" s="53"/>
      <c r="C369" s="54"/>
      <c r="D369" s="54"/>
      <c r="E369" s="54"/>
      <c r="F369" s="54"/>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row>
    <row r="370" spans="1:29" ht="15.75">
      <c r="A370" s="52"/>
      <c r="B370" s="53"/>
      <c r="C370" s="54"/>
      <c r="D370" s="54"/>
      <c r="E370" s="54"/>
      <c r="F370" s="54"/>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row>
    <row r="371" spans="1:29" ht="15.75">
      <c r="A371" s="52"/>
      <c r="B371" s="53"/>
      <c r="C371" s="54"/>
      <c r="D371" s="54"/>
      <c r="E371" s="54"/>
      <c r="F371" s="54"/>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row>
    <row r="372" spans="1:29" ht="15.75">
      <c r="A372" s="52"/>
      <c r="B372" s="53"/>
      <c r="C372" s="54"/>
      <c r="D372" s="54"/>
      <c r="E372" s="54"/>
      <c r="F372" s="54"/>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row>
    <row r="373" spans="1:29" ht="15.75">
      <c r="A373" s="52"/>
      <c r="B373" s="53"/>
      <c r="C373" s="54"/>
      <c r="D373" s="54"/>
      <c r="E373" s="54"/>
      <c r="F373" s="54"/>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row>
    <row r="374" spans="1:29" ht="15.75">
      <c r="A374" s="52"/>
      <c r="B374" s="53"/>
      <c r="C374" s="54"/>
      <c r="D374" s="54"/>
      <c r="E374" s="54"/>
      <c r="F374" s="54"/>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row>
    <row r="375" spans="1:29" ht="15.75">
      <c r="A375" s="52"/>
      <c r="B375" s="53"/>
      <c r="C375" s="54"/>
      <c r="D375" s="54"/>
      <c r="E375" s="54"/>
      <c r="F375" s="54"/>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row>
    <row r="376" spans="1:29" ht="15.75">
      <c r="A376" s="52"/>
      <c r="B376" s="53"/>
      <c r="C376" s="54"/>
      <c r="D376" s="54"/>
      <c r="E376" s="54"/>
      <c r="F376" s="54"/>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row>
    <row r="377" spans="1:29" ht="15.75">
      <c r="A377" s="52"/>
      <c r="B377" s="53"/>
      <c r="C377" s="54"/>
      <c r="D377" s="54"/>
      <c r="E377" s="54"/>
      <c r="F377" s="54"/>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row>
    <row r="378" spans="1:29" ht="15.75">
      <c r="A378" s="52"/>
      <c r="B378" s="53"/>
      <c r="C378" s="54"/>
      <c r="D378" s="54"/>
      <c r="E378" s="54"/>
      <c r="F378" s="54"/>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row>
    <row r="379" spans="1:29" ht="15.75">
      <c r="A379" s="52"/>
      <c r="B379" s="53"/>
      <c r="C379" s="54"/>
      <c r="D379" s="54"/>
      <c r="E379" s="54"/>
      <c r="F379" s="54"/>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row>
    <row r="380" spans="1:29" ht="15.75">
      <c r="A380" s="52"/>
      <c r="B380" s="53"/>
      <c r="C380" s="54"/>
      <c r="D380" s="54"/>
      <c r="E380" s="54"/>
      <c r="F380" s="54"/>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row>
    <row r="381" spans="1:29" ht="15.75">
      <c r="A381" s="52"/>
      <c r="B381" s="53"/>
      <c r="C381" s="54"/>
      <c r="D381" s="54"/>
      <c r="E381" s="54"/>
      <c r="F381" s="54"/>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row>
    <row r="382" spans="1:29" ht="15.75">
      <c r="A382" s="52"/>
      <c r="B382" s="53"/>
      <c r="C382" s="54"/>
      <c r="D382" s="54"/>
      <c r="E382" s="54"/>
      <c r="F382" s="54"/>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row>
    <row r="383" spans="1:29" ht="15.75">
      <c r="A383" s="52"/>
      <c r="B383" s="53"/>
      <c r="C383" s="54"/>
      <c r="D383" s="54"/>
      <c r="E383" s="54"/>
      <c r="F383" s="54"/>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row>
    <row r="384" spans="1:29" ht="15.75">
      <c r="A384" s="52"/>
      <c r="B384" s="53"/>
      <c r="C384" s="54"/>
      <c r="D384" s="54"/>
      <c r="E384" s="54"/>
      <c r="F384" s="54"/>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row>
    <row r="385" spans="1:29" ht="15.75">
      <c r="A385" s="52"/>
      <c r="B385" s="53"/>
      <c r="C385" s="54"/>
      <c r="D385" s="54"/>
      <c r="E385" s="54"/>
      <c r="F385" s="54"/>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row>
    <row r="386" spans="1:29" ht="15.75">
      <c r="A386" s="52"/>
      <c r="B386" s="53"/>
      <c r="C386" s="54"/>
      <c r="D386" s="54"/>
      <c r="E386" s="54"/>
      <c r="F386" s="54"/>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row>
    <row r="387" spans="1:29" ht="15.75">
      <c r="A387" s="52"/>
      <c r="B387" s="53"/>
      <c r="C387" s="54"/>
      <c r="D387" s="54"/>
      <c r="E387" s="54"/>
      <c r="F387" s="54"/>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row>
    <row r="388" spans="1:29" ht="15.75">
      <c r="A388" s="52"/>
      <c r="B388" s="53"/>
      <c r="C388" s="54"/>
      <c r="D388" s="54"/>
      <c r="E388" s="54"/>
      <c r="F388" s="54"/>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row>
    <row r="389" spans="1:29" ht="15.75">
      <c r="A389" s="52"/>
      <c r="B389" s="53"/>
      <c r="C389" s="54"/>
      <c r="D389" s="54"/>
      <c r="E389" s="54"/>
      <c r="F389" s="54"/>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row>
    <row r="390" spans="1:29" ht="15.75">
      <c r="A390" s="52"/>
      <c r="B390" s="53"/>
      <c r="C390" s="54"/>
      <c r="D390" s="54"/>
      <c r="E390" s="54"/>
      <c r="F390" s="54"/>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row>
    <row r="391" spans="1:29" ht="15.75">
      <c r="A391" s="52"/>
      <c r="B391" s="53"/>
      <c r="C391" s="54"/>
      <c r="D391" s="54"/>
      <c r="E391" s="54"/>
      <c r="F391" s="54"/>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row>
    <row r="392" spans="1:29" ht="15.75">
      <c r="A392" s="52"/>
      <c r="B392" s="53"/>
      <c r="C392" s="54"/>
      <c r="D392" s="54"/>
      <c r="E392" s="54"/>
      <c r="F392" s="54"/>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row>
    <row r="393" spans="1:29" ht="15.75">
      <c r="A393" s="52"/>
      <c r="B393" s="53"/>
      <c r="C393" s="54"/>
      <c r="D393" s="54"/>
      <c r="E393" s="54"/>
      <c r="F393" s="54"/>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row>
    <row r="394" spans="1:29" ht="15.75">
      <c r="A394" s="52"/>
      <c r="B394" s="53"/>
      <c r="C394" s="54"/>
      <c r="D394" s="54"/>
      <c r="E394" s="54"/>
      <c r="F394" s="54"/>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row>
    <row r="395" spans="1:29" ht="15.75">
      <c r="A395" s="52"/>
      <c r="B395" s="53"/>
      <c r="C395" s="54"/>
      <c r="D395" s="54"/>
      <c r="E395" s="54"/>
      <c r="F395" s="54"/>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row>
    <row r="396" spans="1:29" ht="15.75">
      <c r="A396" s="52"/>
      <c r="B396" s="53"/>
      <c r="C396" s="54"/>
      <c r="D396" s="54"/>
      <c r="E396" s="54"/>
      <c r="F396" s="54"/>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row>
    <row r="397" spans="1:29" ht="15.75">
      <c r="A397" s="52"/>
      <c r="B397" s="53"/>
      <c r="C397" s="54"/>
      <c r="D397" s="54"/>
      <c r="E397" s="54"/>
      <c r="F397" s="54"/>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row>
    <row r="398" spans="1:29" ht="15.75">
      <c r="A398" s="52"/>
      <c r="B398" s="53"/>
      <c r="C398" s="54"/>
      <c r="D398" s="54"/>
      <c r="E398" s="54"/>
      <c r="F398" s="54"/>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row>
  </sheetData>
  <sheetProtection/>
  <mergeCells count="72">
    <mergeCell ref="A2:AD2"/>
    <mergeCell ref="AA3:AD3"/>
    <mergeCell ref="T4:W4"/>
    <mergeCell ref="X4:AA4"/>
    <mergeCell ref="AD4:AD7"/>
    <mergeCell ref="F4:H5"/>
    <mergeCell ref="R4:S5"/>
    <mergeCell ref="AB4:AC5"/>
    <mergeCell ref="AB6:AB7"/>
    <mergeCell ref="AC6:AC7"/>
    <mergeCell ref="X6:X7"/>
    <mergeCell ref="Y6:Y7"/>
    <mergeCell ref="Z6:Z7"/>
    <mergeCell ref="I4:K5"/>
    <mergeCell ref="L4:M5"/>
    <mergeCell ref="V5:W5"/>
    <mergeCell ref="X5:Y5"/>
    <mergeCell ref="N4:O5"/>
    <mergeCell ref="P4:Q5"/>
    <mergeCell ref="Z5:AA5"/>
    <mergeCell ref="T5:U5"/>
    <mergeCell ref="B31:S31"/>
    <mergeCell ref="B32:S32"/>
    <mergeCell ref="J6:J7"/>
    <mergeCell ref="K6:K7"/>
    <mergeCell ref="L6:L7"/>
    <mergeCell ref="M6:M7"/>
    <mergeCell ref="N6:N7"/>
    <mergeCell ref="O6:O7"/>
    <mergeCell ref="R6:R7"/>
    <mergeCell ref="I6:I7"/>
    <mergeCell ref="B37:S37"/>
    <mergeCell ref="B38:S38"/>
    <mergeCell ref="B39:S39"/>
    <mergeCell ref="B40:S40"/>
    <mergeCell ref="B33:S33"/>
    <mergeCell ref="B34:S34"/>
    <mergeCell ref="B35:S35"/>
    <mergeCell ref="B36:S36"/>
    <mergeCell ref="B61:AC61"/>
    <mergeCell ref="B49:S49"/>
    <mergeCell ref="B50:S50"/>
    <mergeCell ref="B51:S51"/>
    <mergeCell ref="B52:S52"/>
    <mergeCell ref="B43:S43"/>
    <mergeCell ref="B44:S44"/>
    <mergeCell ref="B53:S53"/>
    <mergeCell ref="B55:S55"/>
    <mergeCell ref="B57:S57"/>
    <mergeCell ref="AA6:AA7"/>
    <mergeCell ref="B62:AC62"/>
    <mergeCell ref="A4:A7"/>
    <mergeCell ref="B4:B7"/>
    <mergeCell ref="C4:C7"/>
    <mergeCell ref="D4:D7"/>
    <mergeCell ref="E4:E7"/>
    <mergeCell ref="F6:F7"/>
    <mergeCell ref="G6:G7"/>
    <mergeCell ref="H6:H7"/>
    <mergeCell ref="B45:S45"/>
    <mergeCell ref="B46:S46"/>
    <mergeCell ref="B47:S47"/>
    <mergeCell ref="B48:S48"/>
    <mergeCell ref="B41:S41"/>
    <mergeCell ref="B42:S42"/>
    <mergeCell ref="T6:T7"/>
    <mergeCell ref="U6:U7"/>
    <mergeCell ref="V6:V7"/>
    <mergeCell ref="W6:W7"/>
    <mergeCell ref="P6:P7"/>
    <mergeCell ref="S6:S7"/>
    <mergeCell ref="Q6:Q7"/>
  </mergeCells>
  <printOptions horizontalCentered="1"/>
  <pageMargins left="0.235416666666667" right="0.235416666666667" top="0.747916666666667" bottom="0.747916666666667" header="0.313888888888889" footer="0.313888888888889"/>
  <pageSetup fitToHeight="0" fitToWidth="1" horizontalDpi="600" verticalDpi="600" orientation="landscape" paperSize="9" scale="70"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I27"/>
  <sheetViews>
    <sheetView zoomScalePageLayoutView="0" workbookViewId="0" topLeftCell="A1">
      <selection activeCell="C21" sqref="C21"/>
    </sheetView>
  </sheetViews>
  <sheetFormatPr defaultColWidth="9.00390625" defaultRowHeight="15.75"/>
  <cols>
    <col min="1" max="1" width="4.375" style="0" customWidth="1"/>
    <col min="2" max="2" width="22.00390625" style="0" customWidth="1"/>
    <col min="3" max="3" width="11.25390625" style="0" customWidth="1"/>
    <col min="4" max="4" width="16.00390625" style="0" customWidth="1"/>
    <col min="5" max="5" width="18.875" style="0" customWidth="1"/>
    <col min="6" max="6" width="23.875" style="0" customWidth="1"/>
    <col min="7" max="7" width="15.50390625" style="0" customWidth="1"/>
    <col min="8" max="8" width="13.875" style="0" customWidth="1"/>
    <col min="9" max="9" width="14.25390625" style="0" customWidth="1"/>
  </cols>
  <sheetData>
    <row r="1" spans="1:9" ht="15.75">
      <c r="A1" s="18" t="s">
        <v>384</v>
      </c>
      <c r="I1" s="23" t="s">
        <v>385</v>
      </c>
    </row>
    <row r="3" spans="1:9" ht="15.75">
      <c r="A3" s="1519" t="s">
        <v>386</v>
      </c>
      <c r="B3" s="1519"/>
      <c r="C3" s="1519"/>
      <c r="D3" s="1519"/>
      <c r="E3" s="1519"/>
      <c r="F3" s="1519"/>
      <c r="G3" s="1519"/>
      <c r="H3" s="1519"/>
      <c r="I3" s="1519"/>
    </row>
    <row r="5" spans="1:9" ht="15.75">
      <c r="A5" s="1520" t="s">
        <v>270</v>
      </c>
      <c r="B5" s="1520"/>
      <c r="C5" s="1520"/>
      <c r="D5" s="1520"/>
      <c r="E5" s="1520"/>
      <c r="F5" s="1520"/>
      <c r="G5" s="1520"/>
      <c r="H5" s="1520"/>
      <c r="I5" s="1520"/>
    </row>
    <row r="7" spans="1:9" ht="15.75">
      <c r="A7" s="1522" t="s">
        <v>387</v>
      </c>
      <c r="B7" s="1522" t="s">
        <v>388</v>
      </c>
      <c r="C7" s="1369" t="s">
        <v>389</v>
      </c>
      <c r="D7" s="1369" t="s">
        <v>390</v>
      </c>
      <c r="E7" s="1521" t="s">
        <v>391</v>
      </c>
      <c r="F7" s="1521"/>
      <c r="G7" s="1369" t="s">
        <v>392</v>
      </c>
      <c r="H7" s="1369" t="s">
        <v>393</v>
      </c>
      <c r="I7" s="1522" t="s">
        <v>394</v>
      </c>
    </row>
    <row r="8" spans="1:9" ht="72.75" customHeight="1">
      <c r="A8" s="1522"/>
      <c r="B8" s="1522"/>
      <c r="C8" s="1522"/>
      <c r="D8" s="1522"/>
      <c r="E8" s="19" t="s">
        <v>395</v>
      </c>
      <c r="F8" s="19" t="s">
        <v>396</v>
      </c>
      <c r="G8" s="1522"/>
      <c r="H8" s="1522"/>
      <c r="I8" s="1522"/>
    </row>
    <row r="9" spans="1:9" ht="15.75">
      <c r="A9" s="20">
        <v>1</v>
      </c>
      <c r="B9" s="20">
        <v>2</v>
      </c>
      <c r="C9" s="20">
        <v>3</v>
      </c>
      <c r="D9" s="20">
        <v>4</v>
      </c>
      <c r="E9" s="20">
        <v>5</v>
      </c>
      <c r="F9" s="20">
        <v>6</v>
      </c>
      <c r="G9" s="20">
        <v>7</v>
      </c>
      <c r="H9" s="20" t="s">
        <v>397</v>
      </c>
      <c r="I9" s="20">
        <v>9</v>
      </c>
    </row>
    <row r="10" spans="1:9" ht="21" customHeight="1">
      <c r="A10" s="21"/>
      <c r="B10" s="22" t="s">
        <v>398</v>
      </c>
      <c r="C10" s="21"/>
      <c r="D10" s="21"/>
      <c r="E10" s="21"/>
      <c r="F10" s="21"/>
      <c r="G10" s="21"/>
      <c r="H10" s="21"/>
      <c r="I10" s="21"/>
    </row>
    <row r="11" spans="1:9" ht="21.75" customHeight="1">
      <c r="A11" s="21"/>
      <c r="B11" s="21" t="s">
        <v>399</v>
      </c>
      <c r="C11" s="21"/>
      <c r="D11" s="21"/>
      <c r="E11" s="21"/>
      <c r="F11" s="21"/>
      <c r="G11" s="21"/>
      <c r="H11" s="21"/>
      <c r="I11" s="21"/>
    </row>
    <row r="12" spans="1:9" ht="15.75">
      <c r="A12" s="21"/>
      <c r="B12" s="21"/>
      <c r="C12" s="21"/>
      <c r="D12" s="21"/>
      <c r="E12" s="21"/>
      <c r="F12" s="21"/>
      <c r="G12" s="21"/>
      <c r="H12" s="21"/>
      <c r="I12" s="21"/>
    </row>
    <row r="13" spans="1:9" ht="15.75">
      <c r="A13" s="21"/>
      <c r="B13" s="21"/>
      <c r="C13" s="21"/>
      <c r="D13" s="21"/>
      <c r="E13" s="21"/>
      <c r="F13" s="21"/>
      <c r="G13" s="21"/>
      <c r="H13" s="21"/>
      <c r="I13" s="21"/>
    </row>
    <row r="14" spans="1:9" ht="15.75">
      <c r="A14" s="21"/>
      <c r="B14" s="21"/>
      <c r="C14" s="21"/>
      <c r="D14" s="21"/>
      <c r="E14" s="21"/>
      <c r="F14" s="21"/>
      <c r="G14" s="21"/>
      <c r="H14" s="21"/>
      <c r="I14" s="21"/>
    </row>
    <row r="15" spans="1:9" ht="15.75">
      <c r="A15" s="21"/>
      <c r="B15" s="21"/>
      <c r="C15" s="21"/>
      <c r="D15" s="21"/>
      <c r="E15" s="21"/>
      <c r="F15" s="21"/>
      <c r="G15" s="21"/>
      <c r="H15" s="21"/>
      <c r="I15" s="21"/>
    </row>
    <row r="16" spans="1:9" ht="15.75">
      <c r="A16" s="21"/>
      <c r="B16" s="21"/>
      <c r="C16" s="21"/>
      <c r="D16" s="21"/>
      <c r="E16" s="21"/>
      <c r="F16" s="21"/>
      <c r="G16" s="21"/>
      <c r="H16" s="21"/>
      <c r="I16" s="21"/>
    </row>
    <row r="17" spans="1:9" ht="15.75">
      <c r="A17" s="21"/>
      <c r="B17" s="21"/>
      <c r="C17" s="21"/>
      <c r="D17" s="21"/>
      <c r="E17" s="21"/>
      <c r="F17" s="21"/>
      <c r="G17" s="21"/>
      <c r="H17" s="21"/>
      <c r="I17" s="21"/>
    </row>
    <row r="18" spans="1:9" ht="15.75">
      <c r="A18" s="21"/>
      <c r="B18" s="21"/>
      <c r="C18" s="21"/>
      <c r="D18" s="21"/>
      <c r="E18" s="21"/>
      <c r="F18" s="21"/>
      <c r="G18" s="21"/>
      <c r="H18" s="21"/>
      <c r="I18" s="21"/>
    </row>
    <row r="19" spans="1:9" ht="15.75">
      <c r="A19" s="21"/>
      <c r="B19" s="21"/>
      <c r="C19" s="21"/>
      <c r="D19" s="21"/>
      <c r="E19" s="21"/>
      <c r="F19" s="21"/>
      <c r="G19" s="21"/>
      <c r="H19" s="21"/>
      <c r="I19" s="21"/>
    </row>
    <row r="20" spans="1:9" ht="15.75">
      <c r="A20" s="21"/>
      <c r="B20" s="21"/>
      <c r="C20" s="21"/>
      <c r="D20" s="21"/>
      <c r="E20" s="21"/>
      <c r="F20" s="21"/>
      <c r="G20" s="21"/>
      <c r="H20" s="21"/>
      <c r="I20" s="21"/>
    </row>
    <row r="21" spans="1:9" ht="15.75">
      <c r="A21" s="21"/>
      <c r="B21" s="21"/>
      <c r="C21" s="21"/>
      <c r="D21" s="21"/>
      <c r="E21" s="21"/>
      <c r="F21" s="21"/>
      <c r="G21" s="21"/>
      <c r="H21" s="21"/>
      <c r="I21" s="21"/>
    </row>
    <row r="22" spans="1:9" ht="15.75">
      <c r="A22" s="21"/>
      <c r="B22" s="21"/>
      <c r="C22" s="21"/>
      <c r="D22" s="21"/>
      <c r="E22" s="21"/>
      <c r="F22" s="21"/>
      <c r="G22" s="21"/>
      <c r="H22" s="21"/>
      <c r="I22" s="21"/>
    </row>
    <row r="23" spans="1:9" ht="15.75">
      <c r="A23" s="21"/>
      <c r="B23" s="21"/>
      <c r="C23" s="21"/>
      <c r="D23" s="21"/>
      <c r="E23" s="21"/>
      <c r="F23" s="21"/>
      <c r="G23" s="21"/>
      <c r="H23" s="21"/>
      <c r="I23" s="21"/>
    </row>
    <row r="24" spans="1:9" ht="15.75">
      <c r="A24" s="21"/>
      <c r="B24" s="21"/>
      <c r="C24" s="21"/>
      <c r="D24" s="21"/>
      <c r="E24" s="21"/>
      <c r="F24" s="21"/>
      <c r="G24" s="21"/>
      <c r="H24" s="21"/>
      <c r="I24" s="21"/>
    </row>
    <row r="25" spans="1:9" ht="15.75">
      <c r="A25" s="21"/>
      <c r="B25" s="21"/>
      <c r="C25" s="21"/>
      <c r="D25" s="21"/>
      <c r="E25" s="21"/>
      <c r="F25" s="21"/>
      <c r="G25" s="21"/>
      <c r="H25" s="21"/>
      <c r="I25" s="21"/>
    </row>
    <row r="26" spans="1:9" ht="15.75">
      <c r="A26" s="21"/>
      <c r="B26" s="21"/>
      <c r="C26" s="21"/>
      <c r="D26" s="21"/>
      <c r="E26" s="21"/>
      <c r="F26" s="21"/>
      <c r="G26" s="21"/>
      <c r="H26" s="21"/>
      <c r="I26" s="21"/>
    </row>
    <row r="27" spans="1:9" ht="15.75">
      <c r="A27" s="21"/>
      <c r="B27" s="21"/>
      <c r="C27" s="21"/>
      <c r="D27" s="21"/>
      <c r="E27" s="21"/>
      <c r="F27" s="21"/>
      <c r="G27" s="21"/>
      <c r="H27" s="21"/>
      <c r="I27" s="21"/>
    </row>
  </sheetData>
  <sheetProtection/>
  <mergeCells count="10">
    <mergeCell ref="A3:I3"/>
    <mergeCell ref="A5:I5"/>
    <mergeCell ref="E7:F7"/>
    <mergeCell ref="A7:A8"/>
    <mergeCell ref="B7:B8"/>
    <mergeCell ref="C7:C8"/>
    <mergeCell ref="D7:D8"/>
    <mergeCell ref="G7:G8"/>
    <mergeCell ref="H7:H8"/>
    <mergeCell ref="I7:I8"/>
  </mergeCells>
  <printOptions horizontalCentered="1"/>
  <pageMargins left="0.235416666666667" right="0.235416666666667" top="0.747916666666667" bottom="0.747916666666667" header="0.313888888888889" footer="0.313888888888889"/>
  <pageSetup firstPageNumber="1" useFirstPageNumber="1" fitToHeight="0" fitToWidth="1" horizontalDpi="600" verticalDpi="600" orientation="landscape" paperSize="9" scale="96" r:id="rId1"/>
</worksheet>
</file>

<file path=xl/worksheets/sheet19.xml><?xml version="1.0" encoding="utf-8"?>
<worksheet xmlns="http://schemas.openxmlformats.org/spreadsheetml/2006/main" xmlns:r="http://schemas.openxmlformats.org/officeDocument/2006/relationships">
  <sheetPr>
    <pageSetUpPr fitToPage="1"/>
  </sheetPr>
  <dimension ref="A1:O27"/>
  <sheetViews>
    <sheetView zoomScale="85" zoomScaleNormal="85" zoomScalePageLayoutView="0" workbookViewId="0" topLeftCell="A1">
      <selection activeCell="C21" sqref="C21"/>
    </sheetView>
  </sheetViews>
  <sheetFormatPr defaultColWidth="9.00390625" defaultRowHeight="15.75"/>
  <cols>
    <col min="1" max="1" width="3.625" style="6" customWidth="1"/>
    <col min="2" max="2" width="24.375" style="6" customWidth="1"/>
    <col min="3" max="3" width="8.75390625" style="6" customWidth="1"/>
    <col min="4" max="4" width="8.50390625" style="6" customWidth="1"/>
    <col min="5" max="5" width="9.375" style="6" customWidth="1"/>
    <col min="6" max="8" width="14.50390625" style="6" customWidth="1"/>
    <col min="9" max="9" width="10.375" style="6" customWidth="1"/>
    <col min="10" max="11" width="10.75390625" style="6" customWidth="1"/>
    <col min="12" max="12" width="11.875" style="6" customWidth="1"/>
    <col min="13" max="13" width="9.50390625" style="6" customWidth="1"/>
    <col min="14" max="14" width="12.625" style="6" customWidth="1"/>
    <col min="15" max="16384" width="9.00390625" style="6" customWidth="1"/>
  </cols>
  <sheetData>
    <row r="1" spans="1:15" ht="15.75">
      <c r="A1" s="4" t="s">
        <v>400</v>
      </c>
      <c r="B1" s="4"/>
      <c r="C1" s="4"/>
      <c r="D1" s="4"/>
      <c r="E1" s="4"/>
      <c r="F1" s="4"/>
      <c r="G1" s="4"/>
      <c r="H1" s="4"/>
      <c r="I1" s="4"/>
      <c r="J1" s="4"/>
      <c r="K1" s="4"/>
      <c r="L1" s="4"/>
      <c r="M1" s="1523" t="s">
        <v>0</v>
      </c>
      <c r="N1" s="1523"/>
      <c r="O1" s="1523"/>
    </row>
    <row r="3" spans="1:15" ht="24" customHeight="1">
      <c r="A3" s="1524" t="s">
        <v>401</v>
      </c>
      <c r="B3" s="1524"/>
      <c r="C3" s="1524"/>
      <c r="D3" s="1524"/>
      <c r="E3" s="1524"/>
      <c r="F3" s="1524"/>
      <c r="G3" s="1524"/>
      <c r="H3" s="1524"/>
      <c r="I3" s="1524"/>
      <c r="J3" s="1524"/>
      <c r="K3" s="1524"/>
      <c r="L3" s="1524"/>
      <c r="M3" s="1524"/>
      <c r="N3" s="1524"/>
      <c r="O3" s="1524"/>
    </row>
    <row r="4" spans="1:15" ht="15.75">
      <c r="A4" s="1524"/>
      <c r="B4" s="1524"/>
      <c r="C4" s="1524"/>
      <c r="D4" s="1524"/>
      <c r="E4" s="1524"/>
      <c r="F4" s="1524"/>
      <c r="G4" s="1524"/>
      <c r="H4" s="1524"/>
      <c r="I4" s="1524"/>
      <c r="J4" s="1524"/>
      <c r="K4" s="1524"/>
      <c r="L4" s="1524"/>
      <c r="M4" s="1524"/>
      <c r="N4" s="1525" t="s">
        <v>270</v>
      </c>
      <c r="O4" s="1525"/>
    </row>
    <row r="5" spans="1:15" s="2" customFormat="1" ht="28.5" customHeight="1">
      <c r="A5" s="1526" t="s">
        <v>2</v>
      </c>
      <c r="B5" s="1526"/>
      <c r="C5" s="1526" t="s">
        <v>402</v>
      </c>
      <c r="D5" s="1526" t="s">
        <v>403</v>
      </c>
      <c r="E5" s="1526" t="s">
        <v>274</v>
      </c>
      <c r="F5" s="1510" t="s">
        <v>275</v>
      </c>
      <c r="G5" s="1510"/>
      <c r="H5" s="1510"/>
      <c r="I5" s="1527" t="s">
        <v>404</v>
      </c>
      <c r="J5" s="1526" t="s">
        <v>405</v>
      </c>
      <c r="K5" s="1526" t="s">
        <v>406</v>
      </c>
      <c r="L5" s="1526" t="s">
        <v>407</v>
      </c>
      <c r="M5" s="1526" t="s">
        <v>408</v>
      </c>
      <c r="N5" s="1526" t="s">
        <v>409</v>
      </c>
      <c r="O5" s="1526" t="s">
        <v>284</v>
      </c>
    </row>
    <row r="6" spans="1:15" s="3" customFormat="1" ht="28.5" customHeight="1">
      <c r="A6" s="1526"/>
      <c r="B6" s="1526"/>
      <c r="C6" s="1526"/>
      <c r="D6" s="1526"/>
      <c r="E6" s="1526"/>
      <c r="F6" s="1510" t="s">
        <v>285</v>
      </c>
      <c r="G6" s="1510" t="s">
        <v>286</v>
      </c>
      <c r="H6" s="1510"/>
      <c r="I6" s="1528"/>
      <c r="J6" s="1526"/>
      <c r="K6" s="1526"/>
      <c r="L6" s="1526"/>
      <c r="M6" s="1526"/>
      <c r="N6" s="1526"/>
      <c r="O6" s="1526"/>
    </row>
    <row r="7" spans="1:15" s="3" customFormat="1" ht="54.75" customHeight="1">
      <c r="A7" s="1526"/>
      <c r="B7" s="1526"/>
      <c r="C7" s="1526"/>
      <c r="D7" s="1526"/>
      <c r="E7" s="1526"/>
      <c r="F7" s="1510"/>
      <c r="G7" s="8" t="s">
        <v>287</v>
      </c>
      <c r="H7" s="8" t="s">
        <v>290</v>
      </c>
      <c r="I7" s="1529"/>
      <c r="J7" s="1526"/>
      <c r="K7" s="1526"/>
      <c r="L7" s="1526"/>
      <c r="M7" s="1526"/>
      <c r="N7" s="1526"/>
      <c r="O7" s="1526"/>
    </row>
    <row r="8" spans="1:15" s="4" customFormat="1" ht="18" customHeight="1">
      <c r="A8" s="9"/>
      <c r="B8" s="10" t="s">
        <v>293</v>
      </c>
      <c r="C8" s="9"/>
      <c r="D8" s="9"/>
      <c r="E8" s="9"/>
      <c r="F8" s="9"/>
      <c r="G8" s="9"/>
      <c r="H8" s="9"/>
      <c r="I8" s="9"/>
      <c r="J8" s="9"/>
      <c r="K8" s="9"/>
      <c r="L8" s="9"/>
      <c r="M8" s="9"/>
      <c r="N8" s="9"/>
      <c r="O8" s="9"/>
    </row>
    <row r="9" spans="1:15" ht="47.25">
      <c r="A9" s="10" t="s">
        <v>104</v>
      </c>
      <c r="B9" s="11" t="s">
        <v>410</v>
      </c>
      <c r="C9" s="12"/>
      <c r="D9" s="12"/>
      <c r="E9" s="12"/>
      <c r="F9" s="12"/>
      <c r="G9" s="12"/>
      <c r="H9" s="12"/>
      <c r="I9" s="12"/>
      <c r="J9" s="12"/>
      <c r="K9" s="12"/>
      <c r="L9" s="12"/>
      <c r="M9" s="12"/>
      <c r="N9" s="12"/>
      <c r="O9" s="12"/>
    </row>
    <row r="10" spans="1:15" ht="18" customHeight="1">
      <c r="A10" s="10" t="s">
        <v>46</v>
      </c>
      <c r="B10" s="117" t="s">
        <v>411</v>
      </c>
      <c r="C10" s="12"/>
      <c r="D10" s="12"/>
      <c r="E10" s="12"/>
      <c r="F10" s="12"/>
      <c r="G10" s="12"/>
      <c r="H10" s="12"/>
      <c r="I10" s="12"/>
      <c r="J10" s="12"/>
      <c r="K10" s="12"/>
      <c r="L10" s="12"/>
      <c r="M10" s="12"/>
      <c r="N10" s="12"/>
      <c r="O10" s="12"/>
    </row>
    <row r="11" spans="1:15" ht="18" customHeight="1">
      <c r="A11" s="10"/>
      <c r="B11" s="118" t="s">
        <v>412</v>
      </c>
      <c r="C11" s="12"/>
      <c r="D11" s="12"/>
      <c r="E11" s="12"/>
      <c r="F11" s="12"/>
      <c r="G11" s="12"/>
      <c r="H11" s="12"/>
      <c r="I11" s="12"/>
      <c r="J11" s="12"/>
      <c r="K11" s="12"/>
      <c r="L11" s="12"/>
      <c r="M11" s="12"/>
      <c r="N11" s="12"/>
      <c r="O11" s="12"/>
    </row>
    <row r="12" spans="1:15" ht="18" customHeight="1">
      <c r="A12" s="15">
        <v>1</v>
      </c>
      <c r="B12" s="119" t="s">
        <v>413</v>
      </c>
      <c r="C12" s="12"/>
      <c r="D12" s="12"/>
      <c r="E12" s="12"/>
      <c r="F12" s="12"/>
      <c r="G12" s="12"/>
      <c r="H12" s="12"/>
      <c r="I12" s="12"/>
      <c r="J12" s="12"/>
      <c r="K12" s="12"/>
      <c r="L12" s="12"/>
      <c r="M12" s="12"/>
      <c r="N12" s="12"/>
      <c r="O12" s="12"/>
    </row>
    <row r="13" spans="1:15" ht="18" customHeight="1">
      <c r="A13" s="15">
        <v>2</v>
      </c>
      <c r="B13" s="119" t="s">
        <v>413</v>
      </c>
      <c r="C13" s="12"/>
      <c r="D13" s="12"/>
      <c r="E13" s="12"/>
      <c r="F13" s="12"/>
      <c r="G13" s="12"/>
      <c r="H13" s="12"/>
      <c r="I13" s="12"/>
      <c r="J13" s="12"/>
      <c r="K13" s="12"/>
      <c r="L13" s="12"/>
      <c r="M13" s="12"/>
      <c r="N13" s="12"/>
      <c r="O13" s="12"/>
    </row>
    <row r="14" spans="1:15" s="5" customFormat="1" ht="18" customHeight="1">
      <c r="A14" s="16"/>
      <c r="B14" s="14" t="s">
        <v>414</v>
      </c>
      <c r="C14" s="14"/>
      <c r="D14" s="14"/>
      <c r="E14" s="14"/>
      <c r="F14" s="14"/>
      <c r="G14" s="14"/>
      <c r="H14" s="14"/>
      <c r="I14" s="14"/>
      <c r="J14" s="14"/>
      <c r="K14" s="14"/>
      <c r="L14" s="14"/>
      <c r="M14" s="14"/>
      <c r="N14" s="14"/>
      <c r="O14" s="14"/>
    </row>
    <row r="15" spans="1:15" ht="18" customHeight="1">
      <c r="A15" s="15">
        <v>1</v>
      </c>
      <c r="B15" s="119" t="s">
        <v>415</v>
      </c>
      <c r="C15" s="12"/>
      <c r="D15" s="12"/>
      <c r="E15" s="12"/>
      <c r="F15" s="12"/>
      <c r="G15" s="12"/>
      <c r="H15" s="12"/>
      <c r="I15" s="12"/>
      <c r="J15" s="12"/>
      <c r="K15" s="12"/>
      <c r="L15" s="12"/>
      <c r="M15" s="12"/>
      <c r="N15" s="12"/>
      <c r="O15" s="12"/>
    </row>
    <row r="16" spans="1:15" ht="18" customHeight="1">
      <c r="A16" s="15">
        <v>2</v>
      </c>
      <c r="B16" s="119" t="s">
        <v>415</v>
      </c>
      <c r="C16" s="12"/>
      <c r="D16" s="12"/>
      <c r="E16" s="12"/>
      <c r="F16" s="12"/>
      <c r="G16" s="12"/>
      <c r="H16" s="12"/>
      <c r="I16" s="12"/>
      <c r="J16" s="12"/>
      <c r="K16" s="12"/>
      <c r="L16" s="12"/>
      <c r="M16" s="12"/>
      <c r="N16" s="12"/>
      <c r="O16" s="12"/>
    </row>
    <row r="17" spans="1:15" s="5" customFormat="1" ht="39.75" customHeight="1">
      <c r="A17" s="10" t="s">
        <v>88</v>
      </c>
      <c r="B17" s="17" t="s">
        <v>416</v>
      </c>
      <c r="C17" s="14"/>
      <c r="D17" s="14"/>
      <c r="E17" s="14"/>
      <c r="F17" s="14"/>
      <c r="G17" s="14"/>
      <c r="H17" s="14"/>
      <c r="I17" s="14"/>
      <c r="J17" s="14"/>
      <c r="K17" s="14"/>
      <c r="L17" s="14"/>
      <c r="M17" s="14"/>
      <c r="N17" s="14"/>
      <c r="O17" s="14"/>
    </row>
    <row r="18" spans="1:15" ht="18" customHeight="1">
      <c r="A18" s="15">
        <v>1</v>
      </c>
      <c r="B18" s="119" t="s">
        <v>413</v>
      </c>
      <c r="C18" s="12"/>
      <c r="D18" s="12"/>
      <c r="E18" s="12"/>
      <c r="F18" s="12"/>
      <c r="G18" s="12"/>
      <c r="H18" s="12"/>
      <c r="I18" s="12"/>
      <c r="J18" s="12"/>
      <c r="K18" s="12"/>
      <c r="L18" s="12"/>
      <c r="M18" s="12"/>
      <c r="N18" s="12"/>
      <c r="O18" s="12"/>
    </row>
    <row r="19" spans="1:15" ht="18" customHeight="1">
      <c r="A19" s="15">
        <v>2</v>
      </c>
      <c r="B19" s="119" t="s">
        <v>413</v>
      </c>
      <c r="C19" s="12"/>
      <c r="D19" s="12"/>
      <c r="E19" s="12"/>
      <c r="F19" s="12"/>
      <c r="G19" s="12"/>
      <c r="H19" s="12"/>
      <c r="I19" s="12"/>
      <c r="J19" s="12"/>
      <c r="K19" s="12"/>
      <c r="L19" s="12"/>
      <c r="M19" s="12"/>
      <c r="N19" s="12"/>
      <c r="O19" s="12"/>
    </row>
    <row r="20" spans="1:15" ht="18" customHeight="1">
      <c r="A20" s="16"/>
      <c r="B20" s="14" t="s">
        <v>414</v>
      </c>
      <c r="C20" s="12"/>
      <c r="D20" s="12"/>
      <c r="E20" s="12"/>
      <c r="F20" s="12"/>
      <c r="G20" s="12"/>
      <c r="H20" s="12"/>
      <c r="I20" s="12"/>
      <c r="J20" s="12"/>
      <c r="K20" s="12"/>
      <c r="L20" s="12"/>
      <c r="M20" s="12"/>
      <c r="N20" s="12"/>
      <c r="O20" s="12"/>
    </row>
    <row r="21" spans="1:15" ht="18" customHeight="1">
      <c r="A21" s="15">
        <v>1</v>
      </c>
      <c r="B21" s="119" t="s">
        <v>415</v>
      </c>
      <c r="C21" s="12"/>
      <c r="D21" s="12"/>
      <c r="E21" s="12"/>
      <c r="F21" s="12"/>
      <c r="G21" s="12"/>
      <c r="H21" s="12"/>
      <c r="I21" s="12"/>
      <c r="J21" s="12"/>
      <c r="K21" s="12"/>
      <c r="L21" s="12"/>
      <c r="M21" s="12"/>
      <c r="N21" s="12"/>
      <c r="O21" s="12"/>
    </row>
    <row r="22" spans="1:15" ht="18" customHeight="1">
      <c r="A22" s="15">
        <v>2</v>
      </c>
      <c r="B22" s="119" t="s">
        <v>415</v>
      </c>
      <c r="C22" s="12"/>
      <c r="D22" s="12"/>
      <c r="E22" s="12"/>
      <c r="F22" s="12"/>
      <c r="G22" s="12"/>
      <c r="H22" s="12"/>
      <c r="I22" s="12"/>
      <c r="J22" s="12"/>
      <c r="K22" s="12"/>
      <c r="L22" s="12"/>
      <c r="M22" s="12"/>
      <c r="N22" s="12"/>
      <c r="O22" s="12"/>
    </row>
    <row r="23" spans="1:15" ht="18" customHeight="1">
      <c r="A23" s="9" t="s">
        <v>98</v>
      </c>
      <c r="B23" s="13" t="s">
        <v>417</v>
      </c>
      <c r="C23" s="12"/>
      <c r="D23" s="12"/>
      <c r="E23" s="12"/>
      <c r="F23" s="12"/>
      <c r="G23" s="12"/>
      <c r="H23" s="12"/>
      <c r="I23" s="12"/>
      <c r="J23" s="12"/>
      <c r="K23" s="12"/>
      <c r="L23" s="12"/>
      <c r="M23" s="12"/>
      <c r="N23" s="12"/>
      <c r="O23" s="12"/>
    </row>
    <row r="24" spans="1:15" ht="18" customHeight="1">
      <c r="A24" s="12"/>
      <c r="B24" s="12" t="s">
        <v>418</v>
      </c>
      <c r="C24" s="12"/>
      <c r="D24" s="12"/>
      <c r="E24" s="12"/>
      <c r="F24" s="12"/>
      <c r="G24" s="12"/>
      <c r="H24" s="12"/>
      <c r="I24" s="12"/>
      <c r="J24" s="12"/>
      <c r="K24" s="12"/>
      <c r="L24" s="12"/>
      <c r="M24" s="12"/>
      <c r="N24" s="12"/>
      <c r="O24" s="12"/>
    </row>
    <row r="25" spans="1:15" ht="63">
      <c r="A25" s="9" t="s">
        <v>114</v>
      </c>
      <c r="B25" s="11" t="s">
        <v>419</v>
      </c>
      <c r="C25" s="12"/>
      <c r="D25" s="12"/>
      <c r="E25" s="12"/>
      <c r="F25" s="12"/>
      <c r="G25" s="12"/>
      <c r="H25" s="12"/>
      <c r="I25" s="12"/>
      <c r="J25" s="12"/>
      <c r="K25" s="12"/>
      <c r="L25" s="12"/>
      <c r="M25" s="12"/>
      <c r="N25" s="12"/>
      <c r="O25" s="12"/>
    </row>
    <row r="26" spans="1:15" ht="15.75">
      <c r="A26" s="15">
        <v>1</v>
      </c>
      <c r="B26" s="119" t="s">
        <v>415</v>
      </c>
      <c r="C26" s="12"/>
      <c r="D26" s="12"/>
      <c r="E26" s="12"/>
      <c r="F26" s="12"/>
      <c r="G26" s="12"/>
      <c r="H26" s="12"/>
      <c r="I26" s="12"/>
      <c r="J26" s="12"/>
      <c r="K26" s="12"/>
      <c r="L26" s="12"/>
      <c r="M26" s="12"/>
      <c r="N26" s="12"/>
      <c r="O26" s="12"/>
    </row>
    <row r="27" spans="1:15" ht="15.75">
      <c r="A27" s="15">
        <v>2</v>
      </c>
      <c r="B27" s="119" t="s">
        <v>415</v>
      </c>
      <c r="C27" s="12"/>
      <c r="D27" s="12"/>
      <c r="E27" s="12"/>
      <c r="F27" s="12"/>
      <c r="G27" s="12"/>
      <c r="H27" s="12"/>
      <c r="I27" s="12"/>
      <c r="J27" s="12"/>
      <c r="K27" s="12"/>
      <c r="L27" s="12"/>
      <c r="M27" s="12"/>
      <c r="N27" s="12"/>
      <c r="O27" s="12"/>
    </row>
  </sheetData>
  <sheetProtection/>
  <mergeCells count="19">
    <mergeCell ref="B5:B7"/>
    <mergeCell ref="C5:C7"/>
    <mergeCell ref="D5:D7"/>
    <mergeCell ref="O5:O7"/>
    <mergeCell ref="F5:H5"/>
    <mergeCell ref="I5:I7"/>
    <mergeCell ref="J5:J7"/>
    <mergeCell ref="K5:K7"/>
    <mergeCell ref="G6:H6"/>
    <mergeCell ref="M1:O1"/>
    <mergeCell ref="A3:O3"/>
    <mergeCell ref="A4:M4"/>
    <mergeCell ref="N4:O4"/>
    <mergeCell ref="L5:L7"/>
    <mergeCell ref="M5:M7"/>
    <mergeCell ref="N5:N7"/>
    <mergeCell ref="E5:E7"/>
    <mergeCell ref="F6:F7"/>
    <mergeCell ref="A5:A7"/>
  </mergeCells>
  <printOptions horizontalCentered="1"/>
  <pageMargins left="0.235416666666667" right="0.235416666666667" top="0.747916666666667" bottom="0.747916666666667" header="0.313888888888889" footer="0.313888888888889"/>
  <pageSetup firstPageNumber="1" useFirstPageNumber="1" fitToHeight="0" fitToWidth="1" horizontalDpi="600" verticalDpi="600" orientation="landscape" paperSize="9" scale="77"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R92"/>
  <sheetViews>
    <sheetView view="pageBreakPreview" zoomScale="70" zoomScaleNormal="55" zoomScaleSheetLayoutView="70" zoomScalePageLayoutView="0" workbookViewId="0" topLeftCell="A2">
      <pane xSplit="2" ySplit="7" topLeftCell="C9" activePane="bottomRight" state="frozen"/>
      <selection pane="topLeft" activeCell="A2" sqref="A2"/>
      <selection pane="topRight" activeCell="C2" sqref="C2"/>
      <selection pane="bottomLeft" activeCell="A9" sqref="A9"/>
      <selection pane="bottomRight" activeCell="A4" sqref="A4:K4"/>
    </sheetView>
  </sheetViews>
  <sheetFormatPr defaultColWidth="9.00390625" defaultRowHeight="15.75"/>
  <cols>
    <col min="1" max="1" width="3.625" style="1078" customWidth="1"/>
    <col min="2" max="2" width="37.75390625" style="563" customWidth="1"/>
    <col min="3" max="3" width="9.625" style="563" customWidth="1"/>
    <col min="4" max="4" width="11.00390625" style="1078" customWidth="1"/>
    <col min="5" max="5" width="11.125" style="1078" customWidth="1"/>
    <col min="6" max="6" width="11.00390625" style="1078" hidden="1" customWidth="1"/>
    <col min="7" max="7" width="11.125" style="1078" customWidth="1"/>
    <col min="8" max="9" width="11.875" style="563" customWidth="1"/>
    <col min="10" max="10" width="12.125" style="563" customWidth="1"/>
    <col min="11" max="11" width="13.625" style="563" customWidth="1"/>
    <col min="12" max="13" width="9.00390625" style="563" customWidth="1"/>
    <col min="14" max="14" width="10.875" style="563" bestFit="1" customWidth="1"/>
    <col min="15" max="15" width="11.875" style="563" bestFit="1" customWidth="1"/>
    <col min="16" max="244" width="9.00390625" style="563" customWidth="1"/>
    <col min="245" max="245" width="3.625" style="563" customWidth="1"/>
    <col min="246" max="246" width="37.375" style="563" customWidth="1"/>
    <col min="247" max="247" width="9.625" style="563" customWidth="1"/>
    <col min="248" max="248" width="11.00390625" style="563" customWidth="1"/>
    <col min="249" max="249" width="9.625" style="563" customWidth="1"/>
    <col min="250" max="250" width="10.125" style="563" customWidth="1"/>
    <col min="251" max="251" width="12.375" style="563" customWidth="1"/>
    <col min="252" max="252" width="11.875" style="563" customWidth="1"/>
    <col min="253" max="253" width="12.125" style="563" customWidth="1"/>
    <col min="254" max="254" width="13.625" style="563" customWidth="1"/>
    <col min="255" max="16384" width="9.00390625" style="563" customWidth="1"/>
  </cols>
  <sheetData>
    <row r="1" spans="2:11" ht="19.5">
      <c r="B1" s="144"/>
      <c r="C1" s="145"/>
      <c r="D1" s="196"/>
      <c r="E1" s="196"/>
      <c r="F1" s="196"/>
      <c r="G1" s="196"/>
      <c r="H1" s="145"/>
      <c r="I1" s="145"/>
      <c r="K1" s="165" t="s">
        <v>449</v>
      </c>
    </row>
    <row r="2" spans="1:11" ht="20.25" customHeight="1">
      <c r="A2" s="1377" t="s">
        <v>45</v>
      </c>
      <c r="B2" s="1377"/>
      <c r="C2" s="1377"/>
      <c r="D2" s="1377"/>
      <c r="E2" s="1377"/>
      <c r="F2" s="1377"/>
      <c r="G2" s="1377"/>
      <c r="H2" s="1377"/>
      <c r="I2" s="1377"/>
      <c r="J2" s="1377"/>
      <c r="K2" s="1377"/>
    </row>
    <row r="3" spans="1:11" ht="23.25" customHeight="1">
      <c r="A3" s="1377" t="s">
        <v>1284</v>
      </c>
      <c r="B3" s="1377"/>
      <c r="C3" s="1377"/>
      <c r="D3" s="1377"/>
      <c r="E3" s="1377"/>
      <c r="F3" s="1377"/>
      <c r="G3" s="1377"/>
      <c r="H3" s="1377"/>
      <c r="I3" s="1377"/>
      <c r="J3" s="1377"/>
      <c r="K3" s="1377"/>
    </row>
    <row r="4" spans="1:11" ht="19.5" customHeight="1">
      <c r="A4" s="1378" t="str">
        <f>'1. Chi tieu KT'!A4:K4</f>
        <v>(Kèm theo Báo cáo số         /BC-UBND ngày      /12/2019 của UBND tỉnh Điện Biên)</v>
      </c>
      <c r="B4" s="1378"/>
      <c r="C4" s="1378"/>
      <c r="D4" s="1378"/>
      <c r="E4" s="1378"/>
      <c r="F4" s="1378"/>
      <c r="G4" s="1378"/>
      <c r="H4" s="1378"/>
      <c r="I4" s="1378"/>
      <c r="J4" s="1378"/>
      <c r="K4" s="1378"/>
    </row>
    <row r="5" spans="1:11" ht="27" customHeight="1">
      <c r="A5" s="166"/>
      <c r="B5" s="166"/>
      <c r="C5" s="166"/>
      <c r="D5" s="166"/>
      <c r="E5" s="166"/>
      <c r="F5" s="166"/>
      <c r="G5" s="166"/>
      <c r="H5" s="166"/>
      <c r="I5" s="166"/>
      <c r="J5" s="166"/>
      <c r="K5" s="166"/>
    </row>
    <row r="6" spans="1:11" s="1079" customFormat="1" ht="26.25" customHeight="1">
      <c r="A6" s="1379" t="s">
        <v>2</v>
      </c>
      <c r="B6" s="1379" t="s">
        <v>3</v>
      </c>
      <c r="C6" s="1379" t="s">
        <v>4</v>
      </c>
      <c r="D6" s="1379" t="s">
        <v>1278</v>
      </c>
      <c r="E6" s="1380" t="s">
        <v>1279</v>
      </c>
      <c r="F6" s="1381"/>
      <c r="G6" s="1381"/>
      <c r="H6" s="1381"/>
      <c r="I6" s="1382"/>
      <c r="J6" s="1379" t="s">
        <v>1282</v>
      </c>
      <c r="K6" s="1379" t="s">
        <v>1283</v>
      </c>
    </row>
    <row r="7" spans="1:11" s="1079" customFormat="1" ht="87" customHeight="1">
      <c r="A7" s="1379"/>
      <c r="B7" s="1379"/>
      <c r="C7" s="1379"/>
      <c r="D7" s="1379"/>
      <c r="E7" s="1080" t="s">
        <v>5</v>
      </c>
      <c r="F7" s="1080" t="s">
        <v>6</v>
      </c>
      <c r="G7" s="1080" t="s">
        <v>7</v>
      </c>
      <c r="H7" s="1080" t="s">
        <v>1280</v>
      </c>
      <c r="I7" s="1081" t="s">
        <v>1281</v>
      </c>
      <c r="J7" s="1379"/>
      <c r="K7" s="1379"/>
    </row>
    <row r="8" spans="1:11" s="1082" customFormat="1" ht="15.75">
      <c r="A8" s="1080">
        <v>1</v>
      </c>
      <c r="B8" s="1080">
        <v>2</v>
      </c>
      <c r="C8" s="1080">
        <v>3</v>
      </c>
      <c r="D8" s="1080">
        <v>4</v>
      </c>
      <c r="E8" s="1080">
        <v>5</v>
      </c>
      <c r="F8" s="1080">
        <v>6</v>
      </c>
      <c r="G8" s="1080">
        <v>6</v>
      </c>
      <c r="H8" s="1081" t="s">
        <v>981</v>
      </c>
      <c r="I8" s="1081" t="s">
        <v>982</v>
      </c>
      <c r="J8" s="1080">
        <v>9</v>
      </c>
      <c r="K8" s="1080" t="s">
        <v>1121</v>
      </c>
    </row>
    <row r="9" spans="1:15" s="145" customFormat="1" ht="24.75" customHeight="1">
      <c r="A9" s="167" t="s">
        <v>46</v>
      </c>
      <c r="B9" s="168" t="s">
        <v>47</v>
      </c>
      <c r="C9" s="167"/>
      <c r="D9" s="167"/>
      <c r="E9" s="167"/>
      <c r="F9" s="167"/>
      <c r="G9" s="167"/>
      <c r="H9" s="169"/>
      <c r="I9" s="169"/>
      <c r="J9" s="169"/>
      <c r="K9" s="169"/>
      <c r="N9" s="1333">
        <v>187700</v>
      </c>
      <c r="O9" s="1334">
        <v>806</v>
      </c>
    </row>
    <row r="10" spans="1:15" s="144" customFormat="1" ht="39.75" customHeight="1">
      <c r="A10" s="167">
        <v>1</v>
      </c>
      <c r="B10" s="168" t="s">
        <v>1348</v>
      </c>
      <c r="C10" s="167" t="s">
        <v>9</v>
      </c>
      <c r="D10" s="1332">
        <v>3808.703121232872</v>
      </c>
      <c r="E10" s="170">
        <v>3987.8454</v>
      </c>
      <c r="F10" s="170"/>
      <c r="G10" s="1332">
        <v>3929.2196</v>
      </c>
      <c r="H10" s="170">
        <f>G10/D10*100</f>
        <v>103.16423924183718</v>
      </c>
      <c r="I10" s="170">
        <f>G10/E10*100</f>
        <v>98.52988784369624</v>
      </c>
      <c r="J10" s="1189">
        <f>G10*1.05</f>
        <v>4125.68058</v>
      </c>
      <c r="K10" s="170">
        <f>J10/G10*100</f>
        <v>105</v>
      </c>
      <c r="N10" s="1333">
        <v>42486</v>
      </c>
      <c r="O10" s="1333">
        <v>1236</v>
      </c>
    </row>
    <row r="11" spans="1:15" s="144" customFormat="1" ht="35.25" customHeight="1">
      <c r="A11" s="167">
        <v>2</v>
      </c>
      <c r="B11" s="168" t="s">
        <v>49</v>
      </c>
      <c r="C11" s="1083"/>
      <c r="D11" s="1084"/>
      <c r="E11" s="1084"/>
      <c r="F11" s="1084"/>
      <c r="G11" s="1084"/>
      <c r="H11" s="170"/>
      <c r="I11" s="170"/>
      <c r="J11" s="1084"/>
      <c r="K11" s="1076"/>
      <c r="O11" s="1317">
        <f>G14+G17</f>
        <v>0.26749022</v>
      </c>
    </row>
    <row r="12" spans="1:11" s="143" customFormat="1" ht="24.75" customHeight="1">
      <c r="A12" s="1083" t="s">
        <v>34</v>
      </c>
      <c r="B12" s="1085" t="s">
        <v>50</v>
      </c>
      <c r="C12" s="1083"/>
      <c r="D12" s="1086"/>
      <c r="E12" s="1076"/>
      <c r="F12" s="1076"/>
      <c r="G12" s="1087"/>
      <c r="H12" s="170"/>
      <c r="I12" s="170"/>
      <c r="J12" s="1086"/>
      <c r="K12" s="1076"/>
    </row>
    <row r="13" spans="1:13" s="143" customFormat="1" ht="24.75" customHeight="1">
      <c r="A13" s="1088" t="s">
        <v>11</v>
      </c>
      <c r="B13" s="1085" t="s">
        <v>51</v>
      </c>
      <c r="C13" s="1083" t="s">
        <v>52</v>
      </c>
      <c r="D13" s="1348">
        <v>36.128165244730845</v>
      </c>
      <c r="E13" s="1076">
        <v>36.272918184002016</v>
      </c>
      <c r="F13" s="1076"/>
      <c r="G13" s="1348">
        <v>36.545</v>
      </c>
      <c r="H13" s="1076">
        <f aca="true" t="shared" si="0" ref="H13:H73">G13/D13*100</f>
        <v>101.15376674250003</v>
      </c>
      <c r="I13" s="1076">
        <f aca="true" t="shared" si="1" ref="I13:I73">G13/E13*100</f>
        <v>100.75009629668557</v>
      </c>
      <c r="J13" s="1089">
        <v>36.55783278053644</v>
      </c>
      <c r="K13" s="1076">
        <f>J13/G13*100</f>
        <v>100.03511501036103</v>
      </c>
      <c r="M13" s="143" t="s">
        <v>1339</v>
      </c>
    </row>
    <row r="14" spans="1:14" s="143" customFormat="1" ht="24.75" customHeight="1">
      <c r="A14" s="1088" t="s">
        <v>11</v>
      </c>
      <c r="B14" s="1085" t="s">
        <v>53</v>
      </c>
      <c r="C14" s="1083" t="s">
        <v>54</v>
      </c>
      <c r="D14" s="1347">
        <v>0.18534941</v>
      </c>
      <c r="E14" s="1090">
        <v>0.18569725316000002</v>
      </c>
      <c r="F14" s="1090"/>
      <c r="G14" s="1347">
        <v>0.1893388</v>
      </c>
      <c r="H14" s="1076">
        <f t="shared" si="0"/>
        <v>102.1523618553736</v>
      </c>
      <c r="I14" s="1076">
        <f t="shared" si="1"/>
        <v>101.96101276568822</v>
      </c>
      <c r="J14" s="1347">
        <v>0.1906679</v>
      </c>
      <c r="K14" s="1076">
        <f>J14/G14*100</f>
        <v>100.70196916849584</v>
      </c>
      <c r="M14" s="143" t="s">
        <v>1339</v>
      </c>
      <c r="N14" s="1320">
        <f>J14+J17</f>
        <v>0.27051990000000004</v>
      </c>
    </row>
    <row r="15" spans="1:11" s="143" customFormat="1" ht="23.25" customHeight="1">
      <c r="A15" s="1083" t="s">
        <v>39</v>
      </c>
      <c r="B15" s="1085" t="s">
        <v>55</v>
      </c>
      <c r="C15" s="1083"/>
      <c r="D15" s="1076"/>
      <c r="E15" s="1076"/>
      <c r="F15" s="1076"/>
      <c r="G15" s="1076"/>
      <c r="H15" s="1076"/>
      <c r="I15" s="1076"/>
      <c r="J15" s="1076"/>
      <c r="K15" s="1076"/>
    </row>
    <row r="16" spans="1:13" s="143" customFormat="1" ht="23.25" customHeight="1">
      <c r="A16" s="1088" t="s">
        <v>11</v>
      </c>
      <c r="B16" s="1085" t="s">
        <v>51</v>
      </c>
      <c r="C16" s="1083" t="s">
        <v>52</v>
      </c>
      <c r="D16" s="1076">
        <v>26.625177848814644</v>
      </c>
      <c r="E16" s="1076">
        <v>26.939219099320045</v>
      </c>
      <c r="F16" s="1076"/>
      <c r="G16" s="1076">
        <v>27.166849745543537</v>
      </c>
      <c r="H16" s="1076">
        <f t="shared" si="0"/>
        <v>102.03443484886621</v>
      </c>
      <c r="I16" s="1076">
        <f t="shared" si="1"/>
        <v>100.84497863647887</v>
      </c>
      <c r="J16" s="1076">
        <v>27.88</v>
      </c>
      <c r="K16" s="1076">
        <f aca="true" t="shared" si="2" ref="K16:K78">J16/G16*100</f>
        <v>102.6250752705453</v>
      </c>
      <c r="M16" s="143" t="s">
        <v>1339</v>
      </c>
    </row>
    <row r="17" spans="1:18" s="143" customFormat="1" ht="23.25" customHeight="1">
      <c r="A17" s="1088" t="s">
        <v>11</v>
      </c>
      <c r="B17" s="1085" t="s">
        <v>53</v>
      </c>
      <c r="C17" s="1083" t="s">
        <v>54</v>
      </c>
      <c r="D17" s="1090">
        <v>0.07925104</v>
      </c>
      <c r="E17" s="1090">
        <v>0.07913134299999999</v>
      </c>
      <c r="F17" s="1090"/>
      <c r="G17" s="1090">
        <v>0.07815142</v>
      </c>
      <c r="H17" s="1076">
        <f t="shared" si="0"/>
        <v>98.61248508536923</v>
      </c>
      <c r="I17" s="1076">
        <f t="shared" si="1"/>
        <v>98.76164998235907</v>
      </c>
      <c r="J17" s="1090">
        <v>0.079852</v>
      </c>
      <c r="K17" s="1076">
        <f t="shared" si="2"/>
        <v>102.17600652681679</v>
      </c>
      <c r="M17" s="143" t="s">
        <v>1339</v>
      </c>
      <c r="N17" s="1152">
        <f>D17+D14</f>
        <v>0.26460045</v>
      </c>
      <c r="O17" s="1152">
        <f>E17+E14</f>
        <v>0.26482859616</v>
      </c>
      <c r="P17" s="1152">
        <f>G17+G14</f>
        <v>0.26749022</v>
      </c>
      <c r="Q17" s="143">
        <f>P17/N17*100</f>
        <v>101.09212588262795</v>
      </c>
      <c r="R17" s="143">
        <f>P17/O17*100</f>
        <v>101.00503641925131</v>
      </c>
    </row>
    <row r="18" spans="1:11" s="143" customFormat="1" ht="23.25" customHeight="1">
      <c r="A18" s="1083" t="s">
        <v>48</v>
      </c>
      <c r="B18" s="1085" t="s">
        <v>56</v>
      </c>
      <c r="C18" s="1080"/>
      <c r="D18" s="1076"/>
      <c r="E18" s="1076"/>
      <c r="F18" s="1076"/>
      <c r="G18" s="1076"/>
      <c r="H18" s="1076"/>
      <c r="I18" s="1076"/>
      <c r="J18" s="1087"/>
      <c r="K18" s="1076"/>
    </row>
    <row r="19" spans="1:11" s="143" customFormat="1" ht="23.25" customHeight="1">
      <c r="A19" s="1083"/>
      <c r="B19" s="1091" t="s">
        <v>434</v>
      </c>
      <c r="C19" s="1080" t="s">
        <v>446</v>
      </c>
      <c r="D19" s="1076">
        <v>3272.89</v>
      </c>
      <c r="E19" s="1076">
        <v>6921.900000000001</v>
      </c>
      <c r="F19" s="1076"/>
      <c r="G19" s="1086">
        <v>4720.09</v>
      </c>
      <c r="H19" s="1076">
        <f t="shared" si="0"/>
        <v>144.217801392653</v>
      </c>
      <c r="I19" s="1076">
        <f t="shared" si="1"/>
        <v>68.19067019171037</v>
      </c>
      <c r="J19" s="1086">
        <v>6131</v>
      </c>
      <c r="K19" s="1076">
        <f t="shared" si="2"/>
        <v>129.89159105017066</v>
      </c>
    </row>
    <row r="20" spans="1:11" s="143" customFormat="1" ht="23.25" customHeight="1">
      <c r="A20" s="1083"/>
      <c r="B20" s="1091" t="s">
        <v>458</v>
      </c>
      <c r="C20" s="1080" t="s">
        <v>446</v>
      </c>
      <c r="D20" s="1076">
        <v>75.01</v>
      </c>
      <c r="E20" s="1076">
        <v>80</v>
      </c>
      <c r="F20" s="1076"/>
      <c r="G20" s="1092">
        <v>72.94</v>
      </c>
      <c r="H20" s="1076">
        <f t="shared" si="0"/>
        <v>97.24036795093987</v>
      </c>
      <c r="I20" s="1076">
        <f t="shared" si="1"/>
        <v>91.175</v>
      </c>
      <c r="J20" s="1349">
        <v>73</v>
      </c>
      <c r="K20" s="1076">
        <f t="shared" si="2"/>
        <v>100.0822593912805</v>
      </c>
    </row>
    <row r="21" spans="1:11" s="143" customFormat="1" ht="23.25" customHeight="1">
      <c r="A21" s="1083"/>
      <c r="B21" s="1091" t="s">
        <v>459</v>
      </c>
      <c r="C21" s="1080" t="s">
        <v>446</v>
      </c>
      <c r="D21" s="1076">
        <v>1166.51</v>
      </c>
      <c r="E21" s="1076">
        <v>1858.8290000000002</v>
      </c>
      <c r="F21" s="1076"/>
      <c r="G21" s="1092">
        <v>2106.9</v>
      </c>
      <c r="H21" s="1076">
        <f t="shared" si="0"/>
        <v>180.61568267738812</v>
      </c>
      <c r="I21" s="1076">
        <f t="shared" si="1"/>
        <v>113.3455524956841</v>
      </c>
      <c r="J21" s="1151">
        <v>2700</v>
      </c>
      <c r="K21" s="1076">
        <f t="shared" si="2"/>
        <v>128.15036309269544</v>
      </c>
    </row>
    <row r="22" spans="1:14" s="144" customFormat="1" ht="33" customHeight="1">
      <c r="A22" s="167">
        <v>3</v>
      </c>
      <c r="B22" s="168" t="s">
        <v>460</v>
      </c>
      <c r="C22" s="1080"/>
      <c r="D22" s="1093"/>
      <c r="E22" s="1093"/>
      <c r="F22" s="1093"/>
      <c r="G22" s="1093"/>
      <c r="H22" s="1076"/>
      <c r="I22" s="1076"/>
      <c r="J22" s="1093"/>
      <c r="K22" s="1076"/>
      <c r="M22" s="1154"/>
      <c r="N22" s="314"/>
    </row>
    <row r="23" spans="1:13" s="144" customFormat="1" ht="23.25" customHeight="1">
      <c r="A23" s="167"/>
      <c r="B23" s="1091" t="s">
        <v>461</v>
      </c>
      <c r="C23" s="1080" t="s">
        <v>462</v>
      </c>
      <c r="D23" s="1349">
        <v>129154</v>
      </c>
      <c r="E23" s="1086">
        <v>130754</v>
      </c>
      <c r="F23" s="1086"/>
      <c r="G23" s="1349">
        <v>133735</v>
      </c>
      <c r="H23" s="1076">
        <f t="shared" si="0"/>
        <v>103.54692847298574</v>
      </c>
      <c r="I23" s="1076">
        <f t="shared" si="1"/>
        <v>102.27985377120395</v>
      </c>
      <c r="J23" s="1349">
        <v>135611</v>
      </c>
      <c r="K23" s="1076">
        <f>J23/G23*100</f>
        <v>101.40277414289454</v>
      </c>
      <c r="L23" s="143"/>
      <c r="M23" s="144" t="s">
        <v>1339</v>
      </c>
    </row>
    <row r="24" spans="1:15" s="144" customFormat="1" ht="23.25" customHeight="1">
      <c r="A24" s="167"/>
      <c r="B24" s="1091" t="s">
        <v>463</v>
      </c>
      <c r="C24" s="1080" t="s">
        <v>462</v>
      </c>
      <c r="D24" s="1349">
        <v>68412</v>
      </c>
      <c r="E24" s="1086">
        <v>71337</v>
      </c>
      <c r="F24" s="1086"/>
      <c r="G24" s="1349">
        <v>73650</v>
      </c>
      <c r="H24" s="1076">
        <f t="shared" si="0"/>
        <v>107.65655148219611</v>
      </c>
      <c r="I24" s="1076">
        <f>G24/E24*100</f>
        <v>103.24235670129104</v>
      </c>
      <c r="J24" s="1349">
        <v>76618</v>
      </c>
      <c r="K24" s="1076">
        <f>J24/G24*100</f>
        <v>104.02987101154106</v>
      </c>
      <c r="L24" s="143"/>
      <c r="M24" s="144" t="s">
        <v>1339</v>
      </c>
      <c r="N24" s="314">
        <f>G23+G24+G25</f>
        <v>530778</v>
      </c>
      <c r="O24" s="144">
        <f>N24/N25*100</f>
        <v>88.49530078478645</v>
      </c>
    </row>
    <row r="25" spans="1:14" s="144" customFormat="1" ht="23.25" customHeight="1">
      <c r="A25" s="167"/>
      <c r="B25" s="1091" t="s">
        <v>464</v>
      </c>
      <c r="C25" s="1080" t="s">
        <v>462</v>
      </c>
      <c r="D25" s="1349">
        <v>402215</v>
      </c>
      <c r="E25" s="1086">
        <v>404707</v>
      </c>
      <c r="F25" s="1086"/>
      <c r="G25" s="1349">
        <v>323393</v>
      </c>
      <c r="H25" s="1076">
        <f t="shared" si="0"/>
        <v>80.40301828623994</v>
      </c>
      <c r="I25" s="1076">
        <f t="shared" si="1"/>
        <v>79.90793339378858</v>
      </c>
      <c r="J25" s="1349">
        <v>342797</v>
      </c>
      <c r="K25" s="1076">
        <f t="shared" si="2"/>
        <v>106.00012987294096</v>
      </c>
      <c r="L25" s="143"/>
      <c r="M25" s="144" t="s">
        <v>1339</v>
      </c>
      <c r="N25" s="314">
        <f>D23+D24+D25</f>
        <v>599781</v>
      </c>
    </row>
    <row r="26" spans="1:12" s="144" customFormat="1" ht="23.25" customHeight="1">
      <c r="A26" s="167"/>
      <c r="B26" s="1091" t="s">
        <v>465</v>
      </c>
      <c r="C26" s="1080" t="s">
        <v>462</v>
      </c>
      <c r="D26" s="1349">
        <v>4089150</v>
      </c>
      <c r="E26" s="1086">
        <v>4077179</v>
      </c>
      <c r="F26" s="1086"/>
      <c r="G26" s="1349">
        <v>4285820</v>
      </c>
      <c r="H26" s="1076">
        <f t="shared" si="0"/>
        <v>104.80955699839821</v>
      </c>
      <c r="I26" s="1076">
        <f t="shared" si="1"/>
        <v>105.11728820343673</v>
      </c>
      <c r="J26" s="1349">
        <v>4462046</v>
      </c>
      <c r="K26" s="1076">
        <f t="shared" si="2"/>
        <v>104.1118385746485</v>
      </c>
      <c r="L26" s="143"/>
    </row>
    <row r="27" spans="1:11" s="143" customFormat="1" ht="23.25" customHeight="1" hidden="1">
      <c r="A27" s="1088" t="s">
        <v>11</v>
      </c>
      <c r="B27" s="1085" t="s">
        <v>57</v>
      </c>
      <c r="C27" s="1083" t="s">
        <v>58</v>
      </c>
      <c r="D27" s="1094"/>
      <c r="E27" s="1094">
        <v>22.76</v>
      </c>
      <c r="F27" s="1094"/>
      <c r="G27" s="1094"/>
      <c r="H27" s="1076" t="e">
        <f t="shared" si="0"/>
        <v>#DIV/0!</v>
      </c>
      <c r="I27" s="1076">
        <f t="shared" si="1"/>
        <v>0</v>
      </c>
      <c r="J27" s="1076"/>
      <c r="K27" s="1076" t="e">
        <f t="shared" si="2"/>
        <v>#DIV/0!</v>
      </c>
    </row>
    <row r="28" spans="1:11" s="143" customFormat="1" ht="23.25" customHeight="1" hidden="1">
      <c r="A28" s="1083"/>
      <c r="B28" s="171" t="s">
        <v>59</v>
      </c>
      <c r="C28" s="172" t="s">
        <v>58</v>
      </c>
      <c r="D28" s="1094"/>
      <c r="E28" s="1094">
        <v>1.74</v>
      </c>
      <c r="F28" s="1094"/>
      <c r="G28" s="1094"/>
      <c r="H28" s="1076" t="e">
        <f t="shared" si="0"/>
        <v>#DIV/0!</v>
      </c>
      <c r="I28" s="1076">
        <f t="shared" si="1"/>
        <v>0</v>
      </c>
      <c r="J28" s="1076"/>
      <c r="K28" s="1076" t="e">
        <f t="shared" si="2"/>
        <v>#DIV/0!</v>
      </c>
    </row>
    <row r="29" spans="1:11" s="144" customFormat="1" ht="24" customHeight="1">
      <c r="A29" s="167">
        <v>4</v>
      </c>
      <c r="B29" s="168" t="s">
        <v>60</v>
      </c>
      <c r="C29" s="1080"/>
      <c r="D29" s="1077"/>
      <c r="E29" s="1077"/>
      <c r="F29" s="1077"/>
      <c r="G29" s="1077"/>
      <c r="H29" s="1076"/>
      <c r="I29" s="1076"/>
      <c r="J29" s="1077"/>
      <c r="K29" s="1076"/>
    </row>
    <row r="30" spans="1:11" s="143" customFormat="1" ht="18.75" hidden="1">
      <c r="A30" s="1083" t="s">
        <v>34</v>
      </c>
      <c r="B30" s="1085" t="s">
        <v>61</v>
      </c>
      <c r="C30" s="1080"/>
      <c r="D30" s="1076"/>
      <c r="E30" s="1076"/>
      <c r="F30" s="1076"/>
      <c r="G30" s="1076"/>
      <c r="H30" s="1076" t="e">
        <f t="shared" si="0"/>
        <v>#DIV/0!</v>
      </c>
      <c r="I30" s="1076" t="e">
        <f t="shared" si="1"/>
        <v>#DIV/0!</v>
      </c>
      <c r="J30" s="1076"/>
      <c r="K30" s="1076" t="e">
        <f t="shared" si="2"/>
        <v>#DIV/0!</v>
      </c>
    </row>
    <row r="31" spans="1:11" s="143" customFormat="1" ht="18.75" hidden="1">
      <c r="A31" s="1083"/>
      <c r="B31" s="1091" t="s">
        <v>62</v>
      </c>
      <c r="C31" s="1080" t="s">
        <v>63</v>
      </c>
      <c r="D31" s="1076"/>
      <c r="E31" s="1076"/>
      <c r="F31" s="1076"/>
      <c r="G31" s="1076"/>
      <c r="H31" s="1076" t="e">
        <f t="shared" si="0"/>
        <v>#DIV/0!</v>
      </c>
      <c r="I31" s="1076" t="e">
        <f t="shared" si="1"/>
        <v>#DIV/0!</v>
      </c>
      <c r="J31" s="1076"/>
      <c r="K31" s="1076" t="e">
        <f t="shared" si="2"/>
        <v>#DIV/0!</v>
      </c>
    </row>
    <row r="32" spans="1:11" s="143" customFormat="1" ht="18.75" hidden="1">
      <c r="A32" s="1083"/>
      <c r="B32" s="1091" t="s">
        <v>64</v>
      </c>
      <c r="C32" s="1080" t="s">
        <v>63</v>
      </c>
      <c r="D32" s="1076"/>
      <c r="E32" s="1076"/>
      <c r="F32" s="1076"/>
      <c r="G32" s="1076"/>
      <c r="H32" s="1076" t="e">
        <f t="shared" si="0"/>
        <v>#DIV/0!</v>
      </c>
      <c r="I32" s="1076" t="e">
        <f t="shared" si="1"/>
        <v>#DIV/0!</v>
      </c>
      <c r="J32" s="1076"/>
      <c r="K32" s="1076" t="e">
        <f t="shared" si="2"/>
        <v>#DIV/0!</v>
      </c>
    </row>
    <row r="33" spans="1:11" s="143" customFormat="1" ht="24" customHeight="1">
      <c r="A33" s="1088" t="s">
        <v>11</v>
      </c>
      <c r="B33" s="1085" t="s">
        <v>65</v>
      </c>
      <c r="C33" s="1080" t="s">
        <v>63</v>
      </c>
      <c r="D33" s="1350">
        <v>1.542</v>
      </c>
      <c r="E33" s="1095">
        <v>1.0164000000000002</v>
      </c>
      <c r="F33" s="1095"/>
      <c r="G33" s="1095">
        <v>0.35</v>
      </c>
      <c r="H33" s="1076">
        <f t="shared" si="0"/>
        <v>22.697795071335925</v>
      </c>
      <c r="I33" s="1076">
        <f t="shared" si="1"/>
        <v>34.43526170798897</v>
      </c>
      <c r="J33" s="1150">
        <v>0.13</v>
      </c>
      <c r="K33" s="1076">
        <f t="shared" si="2"/>
        <v>37.142857142857146</v>
      </c>
    </row>
    <row r="34" spans="1:11" s="143" customFormat="1" ht="18.75" hidden="1">
      <c r="A34" s="1083"/>
      <c r="B34" s="171" t="s">
        <v>66</v>
      </c>
      <c r="C34" s="1080"/>
      <c r="D34" s="1094"/>
      <c r="E34" s="1094"/>
      <c r="F34" s="1094"/>
      <c r="G34" s="1094"/>
      <c r="H34" s="1076" t="e">
        <f t="shared" si="0"/>
        <v>#DIV/0!</v>
      </c>
      <c r="I34" s="1076" t="e">
        <f t="shared" si="1"/>
        <v>#DIV/0!</v>
      </c>
      <c r="J34" s="1076"/>
      <c r="K34" s="1076" t="e">
        <f t="shared" si="2"/>
        <v>#DIV/0!</v>
      </c>
    </row>
    <row r="35" spans="1:11" s="143" customFormat="1" ht="18.75" hidden="1">
      <c r="A35" s="1083"/>
      <c r="B35" s="1085" t="s">
        <v>67</v>
      </c>
      <c r="C35" s="1080" t="s">
        <v>63</v>
      </c>
      <c r="D35" s="1094"/>
      <c r="E35" s="1094"/>
      <c r="F35" s="1094"/>
      <c r="G35" s="1094"/>
      <c r="H35" s="1076" t="e">
        <f t="shared" si="0"/>
        <v>#DIV/0!</v>
      </c>
      <c r="I35" s="1076" t="e">
        <f t="shared" si="1"/>
        <v>#DIV/0!</v>
      </c>
      <c r="J35" s="1076"/>
      <c r="K35" s="1076" t="e">
        <f t="shared" si="2"/>
        <v>#DIV/0!</v>
      </c>
    </row>
    <row r="36" spans="1:11" s="143" customFormat="1" ht="18.75" hidden="1">
      <c r="A36" s="1083"/>
      <c r="B36" s="1085" t="s">
        <v>68</v>
      </c>
      <c r="C36" s="1080" t="s">
        <v>63</v>
      </c>
      <c r="D36" s="1094"/>
      <c r="E36" s="1094"/>
      <c r="F36" s="1094"/>
      <c r="G36" s="1094"/>
      <c r="H36" s="1076" t="e">
        <f t="shared" si="0"/>
        <v>#DIV/0!</v>
      </c>
      <c r="I36" s="1076" t="e">
        <f t="shared" si="1"/>
        <v>#DIV/0!</v>
      </c>
      <c r="J36" s="1076"/>
      <c r="K36" s="1076" t="e">
        <f t="shared" si="2"/>
        <v>#DIV/0!</v>
      </c>
    </row>
    <row r="37" spans="1:11" s="143" customFormat="1" ht="18.75" hidden="1">
      <c r="A37" s="1083"/>
      <c r="B37" s="1091" t="s">
        <v>69</v>
      </c>
      <c r="C37" s="1080" t="s">
        <v>63</v>
      </c>
      <c r="D37" s="1094"/>
      <c r="E37" s="1094"/>
      <c r="F37" s="1094"/>
      <c r="G37" s="1094"/>
      <c r="H37" s="1076" t="e">
        <f t="shared" si="0"/>
        <v>#DIV/0!</v>
      </c>
      <c r="I37" s="1076" t="e">
        <f t="shared" si="1"/>
        <v>#DIV/0!</v>
      </c>
      <c r="J37" s="1076"/>
      <c r="K37" s="1076" t="e">
        <f t="shared" si="2"/>
        <v>#DIV/0!</v>
      </c>
    </row>
    <row r="38" spans="1:11" s="143" customFormat="1" ht="18.75" hidden="1">
      <c r="A38" s="1083"/>
      <c r="B38" s="1091" t="s">
        <v>70</v>
      </c>
      <c r="C38" s="1080" t="s">
        <v>63</v>
      </c>
      <c r="D38" s="1094"/>
      <c r="E38" s="1094"/>
      <c r="F38" s="1094"/>
      <c r="G38" s="1094"/>
      <c r="H38" s="1076" t="e">
        <f t="shared" si="0"/>
        <v>#DIV/0!</v>
      </c>
      <c r="I38" s="1076" t="e">
        <f t="shared" si="1"/>
        <v>#DIV/0!</v>
      </c>
      <c r="J38" s="1076"/>
      <c r="K38" s="1076" t="e">
        <f t="shared" si="2"/>
        <v>#DIV/0!</v>
      </c>
    </row>
    <row r="39" spans="1:11" s="143" customFormat="1" ht="24" customHeight="1">
      <c r="A39" s="1088" t="s">
        <v>11</v>
      </c>
      <c r="B39" s="1085" t="s">
        <v>71</v>
      </c>
      <c r="C39" s="1080" t="s">
        <v>19</v>
      </c>
      <c r="D39" s="1094">
        <v>39.75</v>
      </c>
      <c r="E39" s="1094">
        <v>40.31</v>
      </c>
      <c r="F39" s="1094">
        <v>42.25</v>
      </c>
      <c r="G39" s="1094">
        <v>42.25</v>
      </c>
      <c r="H39" s="1076">
        <f t="shared" si="0"/>
        <v>106.28930817610063</v>
      </c>
      <c r="I39" s="1076">
        <f t="shared" si="1"/>
        <v>104.81270156288763</v>
      </c>
      <c r="J39" s="1076">
        <v>42.5</v>
      </c>
      <c r="K39" s="1076">
        <f t="shared" si="2"/>
        <v>100.59171597633136</v>
      </c>
    </row>
    <row r="40" spans="1:11" s="143" customFormat="1" ht="18.75" hidden="1">
      <c r="A40" s="1083" t="s">
        <v>39</v>
      </c>
      <c r="B40" s="1085" t="s">
        <v>72</v>
      </c>
      <c r="C40" s="1080"/>
      <c r="D40" s="1076"/>
      <c r="E40" s="1076"/>
      <c r="F40" s="1076"/>
      <c r="G40" s="1076"/>
      <c r="H40" s="1076" t="e">
        <f t="shared" si="0"/>
        <v>#DIV/0!</v>
      </c>
      <c r="I40" s="1076" t="e">
        <f t="shared" si="1"/>
        <v>#DIV/0!</v>
      </c>
      <c r="J40" s="1076"/>
      <c r="K40" s="1076" t="e">
        <f t="shared" si="2"/>
        <v>#DIV/0!</v>
      </c>
    </row>
    <row r="41" spans="1:11" s="143" customFormat="1" ht="18.75" hidden="1">
      <c r="A41" s="1083"/>
      <c r="B41" s="1091" t="s">
        <v>73</v>
      </c>
      <c r="C41" s="1080" t="s">
        <v>74</v>
      </c>
      <c r="D41" s="1076"/>
      <c r="E41" s="1076"/>
      <c r="F41" s="1076"/>
      <c r="G41" s="1076"/>
      <c r="H41" s="1076" t="e">
        <f t="shared" si="0"/>
        <v>#DIV/0!</v>
      </c>
      <c r="I41" s="1076" t="e">
        <f t="shared" si="1"/>
        <v>#DIV/0!</v>
      </c>
      <c r="J41" s="1076"/>
      <c r="K41" s="1076" t="e">
        <f t="shared" si="2"/>
        <v>#DIV/0!</v>
      </c>
    </row>
    <row r="42" spans="1:11" s="143" customFormat="1" ht="18.75" hidden="1">
      <c r="A42" s="1083"/>
      <c r="B42" s="171" t="s">
        <v>66</v>
      </c>
      <c r="C42" s="1080"/>
      <c r="D42" s="1076"/>
      <c r="E42" s="1076"/>
      <c r="F42" s="1076"/>
      <c r="G42" s="1076"/>
      <c r="H42" s="1076" t="e">
        <f t="shared" si="0"/>
        <v>#DIV/0!</v>
      </c>
      <c r="I42" s="1076" t="e">
        <f t="shared" si="1"/>
        <v>#DIV/0!</v>
      </c>
      <c r="J42" s="1076"/>
      <c r="K42" s="1076" t="e">
        <f t="shared" si="2"/>
        <v>#DIV/0!</v>
      </c>
    </row>
    <row r="43" spans="1:11" s="143" customFormat="1" ht="18.75" hidden="1">
      <c r="A43" s="1083"/>
      <c r="B43" s="1085" t="s">
        <v>75</v>
      </c>
      <c r="C43" s="1080" t="s">
        <v>74</v>
      </c>
      <c r="D43" s="1076"/>
      <c r="E43" s="1076"/>
      <c r="F43" s="1076"/>
      <c r="G43" s="1076"/>
      <c r="H43" s="1076" t="e">
        <f t="shared" si="0"/>
        <v>#DIV/0!</v>
      </c>
      <c r="I43" s="1076" t="e">
        <f t="shared" si="1"/>
        <v>#DIV/0!</v>
      </c>
      <c r="J43" s="1076"/>
      <c r="K43" s="1076" t="e">
        <f t="shared" si="2"/>
        <v>#DIV/0!</v>
      </c>
    </row>
    <row r="44" spans="1:11" s="143" customFormat="1" ht="18.75" hidden="1">
      <c r="A44" s="1083"/>
      <c r="B44" s="1085" t="s">
        <v>76</v>
      </c>
      <c r="C44" s="1080" t="s">
        <v>74</v>
      </c>
      <c r="D44" s="1076"/>
      <c r="E44" s="1076"/>
      <c r="F44" s="1076"/>
      <c r="G44" s="1076"/>
      <c r="H44" s="1076" t="e">
        <f t="shared" si="0"/>
        <v>#DIV/0!</v>
      </c>
      <c r="I44" s="1076" t="e">
        <f t="shared" si="1"/>
        <v>#DIV/0!</v>
      </c>
      <c r="J44" s="1076"/>
      <c r="K44" s="1076" t="e">
        <f t="shared" si="2"/>
        <v>#DIV/0!</v>
      </c>
    </row>
    <row r="45" spans="1:14" s="144" customFormat="1" ht="24" customHeight="1">
      <c r="A45" s="167">
        <v>5</v>
      </c>
      <c r="B45" s="168" t="s">
        <v>77</v>
      </c>
      <c r="C45" s="1080"/>
      <c r="D45" s="1090"/>
      <c r="E45" s="1090"/>
      <c r="F45" s="1090"/>
      <c r="G45" s="1090"/>
      <c r="H45" s="1076"/>
      <c r="I45" s="1076"/>
      <c r="J45" s="1090"/>
      <c r="K45" s="1076"/>
      <c r="L45" s="143"/>
      <c r="N45" s="144" t="e">
        <f>G45/D45*100</f>
        <v>#DIV/0!</v>
      </c>
    </row>
    <row r="46" spans="1:11" s="143" customFormat="1" ht="24" customHeight="1">
      <c r="A46" s="1088" t="s">
        <v>11</v>
      </c>
      <c r="B46" s="1085" t="s">
        <v>78</v>
      </c>
      <c r="C46" s="1080" t="s">
        <v>58</v>
      </c>
      <c r="D46" s="1347">
        <v>0.252</v>
      </c>
      <c r="E46" s="1090">
        <v>0.25845500000000005</v>
      </c>
      <c r="F46" s="1090"/>
      <c r="G46" s="1347">
        <v>0.2564</v>
      </c>
      <c r="H46" s="1076">
        <f t="shared" si="0"/>
        <v>101.74603174603176</v>
      </c>
      <c r="I46" s="1076">
        <f t="shared" si="1"/>
        <v>99.204890599911</v>
      </c>
      <c r="J46" s="1090">
        <v>0.2535</v>
      </c>
      <c r="K46" s="1076">
        <f t="shared" si="2"/>
        <v>98.86895475819031</v>
      </c>
    </row>
    <row r="47" spans="1:11" s="143" customFormat="1" ht="24" customHeight="1">
      <c r="A47" s="1088" t="s">
        <v>11</v>
      </c>
      <c r="B47" s="1085" t="s">
        <v>79</v>
      </c>
      <c r="C47" s="1080" t="s">
        <v>58</v>
      </c>
      <c r="D47" s="1090">
        <v>2.81059</v>
      </c>
      <c r="E47" s="1090">
        <v>3.0229935000000006</v>
      </c>
      <c r="F47" s="1090"/>
      <c r="G47" s="1347">
        <v>3.3098</v>
      </c>
      <c r="H47" s="1076">
        <f>G47/D47*100</f>
        <v>117.76175109140785</v>
      </c>
      <c r="I47" s="1076">
        <f t="shared" si="1"/>
        <v>109.48749972502421</v>
      </c>
      <c r="J47" s="1090">
        <v>3.5267</v>
      </c>
      <c r="K47" s="1076">
        <f t="shared" si="2"/>
        <v>106.5532660583721</v>
      </c>
    </row>
    <row r="48" spans="1:11" s="143" customFormat="1" ht="18.75" hidden="1">
      <c r="A48" s="1083"/>
      <c r="B48" s="171" t="s">
        <v>66</v>
      </c>
      <c r="C48" s="1080"/>
      <c r="D48" s="1076"/>
      <c r="E48" s="1076"/>
      <c r="F48" s="1076"/>
      <c r="G48" s="1076"/>
      <c r="H48" s="1076" t="e">
        <f t="shared" si="0"/>
        <v>#DIV/0!</v>
      </c>
      <c r="I48" s="1076" t="e">
        <f t="shared" si="1"/>
        <v>#DIV/0!</v>
      </c>
      <c r="J48" s="1076"/>
      <c r="K48" s="1076" t="e">
        <f t="shared" si="2"/>
        <v>#DIV/0!</v>
      </c>
    </row>
    <row r="49" spans="1:11" s="143" customFormat="1" ht="18.75" hidden="1">
      <c r="A49" s="1083"/>
      <c r="B49" s="1085" t="s">
        <v>80</v>
      </c>
      <c r="C49" s="1080" t="s">
        <v>58</v>
      </c>
      <c r="D49" s="1076"/>
      <c r="E49" s="1076"/>
      <c r="F49" s="1076"/>
      <c r="G49" s="1076"/>
      <c r="H49" s="1076" t="e">
        <f t="shared" si="0"/>
        <v>#DIV/0!</v>
      </c>
      <c r="I49" s="1076" t="e">
        <f t="shared" si="1"/>
        <v>#DIV/0!</v>
      </c>
      <c r="J49" s="1076"/>
      <c r="K49" s="1076" t="e">
        <f t="shared" si="2"/>
        <v>#DIV/0!</v>
      </c>
    </row>
    <row r="50" spans="1:11" s="143" customFormat="1" ht="18.75" hidden="1">
      <c r="A50" s="1083"/>
      <c r="B50" s="1085" t="s">
        <v>81</v>
      </c>
      <c r="C50" s="1080" t="s">
        <v>58</v>
      </c>
      <c r="D50" s="1076"/>
      <c r="E50" s="1076"/>
      <c r="F50" s="1076"/>
      <c r="G50" s="1076"/>
      <c r="H50" s="1076" t="e">
        <f t="shared" si="0"/>
        <v>#DIV/0!</v>
      </c>
      <c r="I50" s="1076" t="e">
        <f t="shared" si="1"/>
        <v>#DIV/0!</v>
      </c>
      <c r="J50" s="1076"/>
      <c r="K50" s="1076" t="e">
        <f t="shared" si="2"/>
        <v>#DIV/0!</v>
      </c>
    </row>
    <row r="51" spans="1:11" s="143" customFormat="1" ht="40.5" customHeight="1">
      <c r="A51" s="167">
        <v>6</v>
      </c>
      <c r="B51" s="168" t="s">
        <v>82</v>
      </c>
      <c r="C51" s="1083"/>
      <c r="D51" s="1076"/>
      <c r="E51" s="1076"/>
      <c r="F51" s="1076"/>
      <c r="G51" s="1076"/>
      <c r="H51" s="1076"/>
      <c r="I51" s="1076"/>
      <c r="J51" s="1076"/>
      <c r="K51" s="1076"/>
    </row>
    <row r="52" spans="1:11" s="143" customFormat="1" ht="40.5" customHeight="1">
      <c r="A52" s="1083"/>
      <c r="B52" s="1085" t="s">
        <v>84</v>
      </c>
      <c r="C52" s="1083" t="s">
        <v>19</v>
      </c>
      <c r="D52" s="1096">
        <v>81.97</v>
      </c>
      <c r="E52" s="1076">
        <v>80.65</v>
      </c>
      <c r="F52" s="1076"/>
      <c r="G52" s="1076">
        <v>82.7</v>
      </c>
      <c r="H52" s="1076">
        <f t="shared" si="0"/>
        <v>100.89056972062951</v>
      </c>
      <c r="I52" s="1076">
        <f t="shared" si="1"/>
        <v>102.54184748915065</v>
      </c>
      <c r="J52" s="1076">
        <v>83.43</v>
      </c>
      <c r="K52" s="1076">
        <f t="shared" si="2"/>
        <v>100.88270858524788</v>
      </c>
    </row>
    <row r="53" spans="1:11" s="143" customFormat="1" ht="40.5" customHeight="1">
      <c r="A53" s="1088" t="s">
        <v>11</v>
      </c>
      <c r="B53" s="1085" t="s">
        <v>85</v>
      </c>
      <c r="C53" s="1083" t="s">
        <v>86</v>
      </c>
      <c r="D53" s="1094">
        <v>8.6</v>
      </c>
      <c r="E53" s="1094">
        <v>9.2</v>
      </c>
      <c r="F53" s="1076"/>
      <c r="G53" s="1076">
        <v>11.2</v>
      </c>
      <c r="H53" s="1076">
        <f t="shared" si="0"/>
        <v>130.23255813953486</v>
      </c>
      <c r="I53" s="1076">
        <f t="shared" si="1"/>
        <v>121.73913043478262</v>
      </c>
      <c r="J53" s="1076">
        <v>11.3</v>
      </c>
      <c r="K53" s="1076">
        <f t="shared" si="2"/>
        <v>100.89285714285717</v>
      </c>
    </row>
    <row r="54" spans="1:11" s="143" customFormat="1" ht="44.25" customHeight="1">
      <c r="A54" s="1088" t="s">
        <v>11</v>
      </c>
      <c r="B54" s="1085" t="s">
        <v>1118</v>
      </c>
      <c r="C54" s="1083" t="s">
        <v>87</v>
      </c>
      <c r="D54" s="1097">
        <v>22</v>
      </c>
      <c r="E54" s="1097">
        <v>30</v>
      </c>
      <c r="F54" s="1076"/>
      <c r="G54" s="1098">
        <v>30</v>
      </c>
      <c r="H54" s="1076">
        <f t="shared" si="0"/>
        <v>136.36363636363635</v>
      </c>
      <c r="I54" s="1076">
        <f t="shared" si="1"/>
        <v>100</v>
      </c>
      <c r="J54" s="1086">
        <v>37</v>
      </c>
      <c r="K54" s="1076">
        <f t="shared" si="2"/>
        <v>123.33333333333334</v>
      </c>
    </row>
    <row r="55" spans="1:11" s="143" customFormat="1" ht="40.5" customHeight="1">
      <c r="A55" s="1088" t="s">
        <v>466</v>
      </c>
      <c r="B55" s="1085" t="s">
        <v>1123</v>
      </c>
      <c r="C55" s="1083" t="s">
        <v>87</v>
      </c>
      <c r="D55" s="1097">
        <v>6</v>
      </c>
      <c r="E55" s="1098">
        <v>8</v>
      </c>
      <c r="F55" s="1076"/>
      <c r="G55" s="1086">
        <v>8</v>
      </c>
      <c r="H55" s="1076">
        <f t="shared" si="0"/>
        <v>133.33333333333331</v>
      </c>
      <c r="I55" s="1076">
        <f t="shared" si="1"/>
        <v>100</v>
      </c>
      <c r="J55" s="1086">
        <v>7</v>
      </c>
      <c r="K55" s="1076">
        <f t="shared" si="2"/>
        <v>87.5</v>
      </c>
    </row>
    <row r="56" spans="1:11" s="143" customFormat="1" ht="48.75" customHeight="1">
      <c r="A56" s="1088" t="s">
        <v>11</v>
      </c>
      <c r="B56" s="1085" t="s">
        <v>1120</v>
      </c>
      <c r="C56" s="1083" t="s">
        <v>19</v>
      </c>
      <c r="D56" s="1097">
        <v>62.857142857142854</v>
      </c>
      <c r="E56" s="1097">
        <v>85.71428571428571</v>
      </c>
      <c r="F56" s="1097"/>
      <c r="G56" s="1097">
        <v>85.71428571428571</v>
      </c>
      <c r="H56" s="1076">
        <f t="shared" si="0"/>
        <v>136.36363636363635</v>
      </c>
      <c r="I56" s="1076">
        <f t="shared" si="1"/>
        <v>100</v>
      </c>
      <c r="J56" s="1099">
        <v>105.71428571428572</v>
      </c>
      <c r="K56" s="1076">
        <f t="shared" si="2"/>
        <v>123.33333333333336</v>
      </c>
    </row>
    <row r="57" spans="1:11" ht="24" customHeight="1">
      <c r="A57" s="167" t="s">
        <v>88</v>
      </c>
      <c r="B57" s="168" t="s">
        <v>89</v>
      </c>
      <c r="C57" s="167"/>
      <c r="D57" s="170"/>
      <c r="E57" s="170"/>
      <c r="F57" s="170"/>
      <c r="G57" s="170"/>
      <c r="H57" s="1076"/>
      <c r="I57" s="1076"/>
      <c r="J57" s="170"/>
      <c r="K57" s="1076"/>
    </row>
    <row r="58" spans="1:11" s="1102" customFormat="1" ht="39.75" customHeight="1">
      <c r="A58" s="10">
        <v>1</v>
      </c>
      <c r="B58" s="11" t="s">
        <v>90</v>
      </c>
      <c r="C58" s="10" t="s">
        <v>91</v>
      </c>
      <c r="D58" s="1329">
        <v>2812.5267510263666</v>
      </c>
      <c r="E58" s="1330">
        <v>3070</v>
      </c>
      <c r="F58" s="1331"/>
      <c r="G58" s="1331">
        <v>3032.478</v>
      </c>
      <c r="H58" s="1332">
        <f t="shared" si="0"/>
        <v>107.82041446871101</v>
      </c>
      <c r="I58" s="170">
        <f t="shared" si="1"/>
        <v>98.77778501628664</v>
      </c>
      <c r="J58" s="1101">
        <v>3400</v>
      </c>
      <c r="K58" s="170">
        <f t="shared" si="2"/>
        <v>112.11952733045382</v>
      </c>
    </row>
    <row r="59" spans="1:11" s="145" customFormat="1" ht="30.75" customHeight="1">
      <c r="A59" s="10">
        <v>2</v>
      </c>
      <c r="B59" s="11" t="s">
        <v>92</v>
      </c>
      <c r="C59" s="10" t="s">
        <v>19</v>
      </c>
      <c r="D59" s="1100">
        <v>110.55</v>
      </c>
      <c r="E59" s="1100"/>
      <c r="F59" s="1100"/>
      <c r="G59" s="1100">
        <v>107.8</v>
      </c>
      <c r="H59" s="170">
        <f>G59-D59</f>
        <v>-2.75</v>
      </c>
      <c r="I59" s="170"/>
      <c r="J59" s="1100"/>
      <c r="K59" s="170"/>
    </row>
    <row r="60" spans="1:11" s="145" customFormat="1" ht="24" customHeight="1">
      <c r="A60" s="123" t="s">
        <v>11</v>
      </c>
      <c r="B60" s="112" t="s">
        <v>93</v>
      </c>
      <c r="C60" s="114" t="s">
        <v>19</v>
      </c>
      <c r="D60" s="1103">
        <v>100.89</v>
      </c>
      <c r="E60" s="1104"/>
      <c r="F60" s="1104"/>
      <c r="G60" s="1104">
        <v>106.6</v>
      </c>
      <c r="H60" s="1076">
        <f>G60-D60</f>
        <v>5.709999999999994</v>
      </c>
      <c r="I60" s="1076"/>
      <c r="J60" s="1104"/>
      <c r="K60" s="1076"/>
    </row>
    <row r="61" spans="1:11" s="145" customFormat="1" ht="24" customHeight="1">
      <c r="A61" s="1105" t="s">
        <v>11</v>
      </c>
      <c r="B61" s="112" t="s">
        <v>94</v>
      </c>
      <c r="C61" s="114" t="s">
        <v>19</v>
      </c>
      <c r="D61" s="1103">
        <v>106.47</v>
      </c>
      <c r="E61" s="1104"/>
      <c r="F61" s="1104"/>
      <c r="G61" s="1104">
        <v>109.2</v>
      </c>
      <c r="H61" s="1076">
        <f>G61-D61</f>
        <v>2.730000000000004</v>
      </c>
      <c r="I61" s="1076"/>
      <c r="J61" s="1104"/>
      <c r="K61" s="1076"/>
    </row>
    <row r="62" spans="1:11" s="145" customFormat="1" ht="24" customHeight="1">
      <c r="A62" s="123" t="s">
        <v>11</v>
      </c>
      <c r="B62" s="112" t="s">
        <v>95</v>
      </c>
      <c r="C62" s="114" t="s">
        <v>19</v>
      </c>
      <c r="D62" s="1103">
        <v>120.15</v>
      </c>
      <c r="E62" s="1104"/>
      <c r="F62" s="1104"/>
      <c r="G62" s="1104">
        <v>98.46</v>
      </c>
      <c r="H62" s="1076">
        <f>G62-D62</f>
        <v>-21.690000000000012</v>
      </c>
      <c r="I62" s="1076"/>
      <c r="J62" s="1104"/>
      <c r="K62" s="1076"/>
    </row>
    <row r="63" spans="1:11" s="145" customFormat="1" ht="36" customHeight="1">
      <c r="A63" s="1105" t="s">
        <v>11</v>
      </c>
      <c r="B63" s="112" t="s">
        <v>96</v>
      </c>
      <c r="C63" s="114" t="s">
        <v>19</v>
      </c>
      <c r="D63" s="1103">
        <v>103.91</v>
      </c>
      <c r="E63" s="1104"/>
      <c r="F63" s="1104"/>
      <c r="G63" s="1104">
        <v>105.42</v>
      </c>
      <c r="H63" s="1076">
        <f>G63-D63</f>
        <v>1.5100000000000051</v>
      </c>
      <c r="I63" s="1076"/>
      <c r="J63" s="1104"/>
      <c r="K63" s="1076"/>
    </row>
    <row r="64" spans="1:11" s="145" customFormat="1" ht="24" customHeight="1">
      <c r="A64" s="10">
        <v>3</v>
      </c>
      <c r="B64" s="11" t="s">
        <v>97</v>
      </c>
      <c r="C64" s="10"/>
      <c r="D64" s="1100"/>
      <c r="E64" s="1100"/>
      <c r="F64" s="1100"/>
      <c r="G64" s="1100"/>
      <c r="H64" s="1076"/>
      <c r="I64" s="1076"/>
      <c r="J64" s="1100"/>
      <c r="K64" s="1076"/>
    </row>
    <row r="65" spans="1:11" s="145" customFormat="1" ht="24" customHeight="1">
      <c r="A65" s="10"/>
      <c r="B65" s="112" t="s">
        <v>435</v>
      </c>
      <c r="C65" s="1106" t="s">
        <v>441</v>
      </c>
      <c r="D65" s="1103">
        <v>468.003</v>
      </c>
      <c r="E65" s="1103">
        <v>522</v>
      </c>
      <c r="F65" s="1104"/>
      <c r="G65" s="1103">
        <v>429.012</v>
      </c>
      <c r="H65" s="1076">
        <f t="shared" si="0"/>
        <v>91.66864314972341</v>
      </c>
      <c r="I65" s="1076">
        <f t="shared" si="1"/>
        <v>82.18620689655172</v>
      </c>
      <c r="J65" s="1103">
        <v>576</v>
      </c>
      <c r="K65" s="1076">
        <f t="shared" si="2"/>
        <v>134.2619786859109</v>
      </c>
    </row>
    <row r="66" spans="1:11" s="145" customFormat="1" ht="24" customHeight="1">
      <c r="A66" s="10"/>
      <c r="B66" s="1107" t="s">
        <v>436</v>
      </c>
      <c r="C66" s="1106" t="s">
        <v>442</v>
      </c>
      <c r="D66" s="1103">
        <v>4.596</v>
      </c>
      <c r="E66" s="1103">
        <v>7</v>
      </c>
      <c r="F66" s="1104"/>
      <c r="G66" s="1103">
        <v>4.32</v>
      </c>
      <c r="H66" s="1076">
        <f t="shared" si="0"/>
        <v>93.99477806788512</v>
      </c>
      <c r="I66" s="1076">
        <f t="shared" si="1"/>
        <v>61.71428571428572</v>
      </c>
      <c r="J66" s="1103">
        <v>7</v>
      </c>
      <c r="K66" s="1076">
        <f t="shared" si="2"/>
        <v>162.037037037037</v>
      </c>
    </row>
    <row r="67" spans="1:11" s="145" customFormat="1" ht="24" customHeight="1">
      <c r="A67" s="10"/>
      <c r="B67" s="112" t="s">
        <v>437</v>
      </c>
      <c r="C67" s="1108" t="s">
        <v>468</v>
      </c>
      <c r="D67" s="1103">
        <v>744.724</v>
      </c>
      <c r="E67" s="1103">
        <v>700</v>
      </c>
      <c r="F67" s="1104"/>
      <c r="G67" s="1103">
        <v>797.56</v>
      </c>
      <c r="H67" s="1076">
        <f t="shared" si="0"/>
        <v>107.094708912295</v>
      </c>
      <c r="I67" s="1076">
        <f t="shared" si="1"/>
        <v>113.93714285714285</v>
      </c>
      <c r="J67" s="1103">
        <v>600</v>
      </c>
      <c r="K67" s="1076">
        <f t="shared" si="2"/>
        <v>75.22944982195698</v>
      </c>
    </row>
    <row r="68" spans="1:11" s="145" customFormat="1" ht="24" customHeight="1">
      <c r="A68" s="10"/>
      <c r="B68" s="112" t="s">
        <v>469</v>
      </c>
      <c r="C68" s="1108" t="s">
        <v>443</v>
      </c>
      <c r="D68" s="1103">
        <v>70</v>
      </c>
      <c r="E68" s="1103">
        <v>73</v>
      </c>
      <c r="F68" s="1104"/>
      <c r="G68" s="1103">
        <v>73</v>
      </c>
      <c r="H68" s="1076">
        <f t="shared" si="0"/>
        <v>104.28571428571429</v>
      </c>
      <c r="I68" s="1076">
        <f t="shared" si="1"/>
        <v>100</v>
      </c>
      <c r="J68" s="1103">
        <v>73</v>
      </c>
      <c r="K68" s="1076">
        <f t="shared" si="2"/>
        <v>100</v>
      </c>
    </row>
    <row r="69" spans="1:11" s="145" customFormat="1" ht="24" customHeight="1">
      <c r="A69" s="10"/>
      <c r="B69" s="112" t="s">
        <v>470</v>
      </c>
      <c r="C69" s="1108" t="s">
        <v>444</v>
      </c>
      <c r="D69" s="1103">
        <v>8.718</v>
      </c>
      <c r="E69" s="1103">
        <v>8.7</v>
      </c>
      <c r="F69" s="1109"/>
      <c r="G69" s="1103">
        <v>9.075</v>
      </c>
      <c r="H69" s="1076">
        <f t="shared" si="0"/>
        <v>104.0949759119064</v>
      </c>
      <c r="I69" s="1076">
        <f t="shared" si="1"/>
        <v>104.3103448275862</v>
      </c>
      <c r="J69" s="1103">
        <v>9.1</v>
      </c>
      <c r="K69" s="1076">
        <f t="shared" si="2"/>
        <v>100.27548209366392</v>
      </c>
    </row>
    <row r="70" spans="1:11" ht="27" customHeight="1">
      <c r="A70" s="10"/>
      <c r="B70" s="112" t="s">
        <v>438</v>
      </c>
      <c r="C70" s="1108" t="s">
        <v>445</v>
      </c>
      <c r="D70" s="1103">
        <v>2240</v>
      </c>
      <c r="E70" s="1103">
        <v>2300</v>
      </c>
      <c r="F70" s="1104"/>
      <c r="G70" s="1103">
        <v>2300</v>
      </c>
      <c r="H70" s="1076">
        <f t="shared" si="0"/>
        <v>102.67857142857142</v>
      </c>
      <c r="I70" s="1076">
        <f t="shared" si="1"/>
        <v>100</v>
      </c>
      <c r="J70" s="1103">
        <v>2500</v>
      </c>
      <c r="K70" s="1076">
        <f t="shared" si="2"/>
        <v>108.69565217391303</v>
      </c>
    </row>
    <row r="71" spans="1:11" ht="24" customHeight="1">
      <c r="A71" s="10"/>
      <c r="B71" s="112" t="s">
        <v>471</v>
      </c>
      <c r="C71" s="1106" t="s">
        <v>58</v>
      </c>
      <c r="D71" s="1103">
        <v>303.373</v>
      </c>
      <c r="E71" s="1103">
        <v>270</v>
      </c>
      <c r="F71" s="1104"/>
      <c r="G71" s="1103">
        <v>330.3</v>
      </c>
      <c r="H71" s="1076">
        <f t="shared" si="0"/>
        <v>108.87587227604303</v>
      </c>
      <c r="I71" s="1076">
        <f t="shared" si="1"/>
        <v>122.33333333333334</v>
      </c>
      <c r="J71" s="1103">
        <v>330.3</v>
      </c>
      <c r="K71" s="1076">
        <f t="shared" si="2"/>
        <v>100</v>
      </c>
    </row>
    <row r="72" spans="1:11" ht="24" customHeight="1">
      <c r="A72" s="10"/>
      <c r="B72" s="112" t="s">
        <v>439</v>
      </c>
      <c r="C72" s="1108" t="s">
        <v>446</v>
      </c>
      <c r="D72" s="1103">
        <v>713</v>
      </c>
      <c r="E72" s="1103">
        <v>1100</v>
      </c>
      <c r="F72" s="1104"/>
      <c r="G72" s="1103">
        <v>600</v>
      </c>
      <c r="H72" s="1076">
        <f t="shared" si="0"/>
        <v>84.15147265077138</v>
      </c>
      <c r="I72" s="1076">
        <f t="shared" si="1"/>
        <v>54.54545454545454</v>
      </c>
      <c r="J72" s="1103">
        <v>1000</v>
      </c>
      <c r="K72" s="1076">
        <f t="shared" si="2"/>
        <v>166.66666666666669</v>
      </c>
    </row>
    <row r="73" spans="1:11" ht="24" customHeight="1">
      <c r="A73" s="10"/>
      <c r="B73" s="112" t="s">
        <v>440</v>
      </c>
      <c r="C73" s="1108" t="s">
        <v>472</v>
      </c>
      <c r="D73" s="1110">
        <v>27193</v>
      </c>
      <c r="E73" s="1110">
        <v>25890.76</v>
      </c>
      <c r="F73" s="1104"/>
      <c r="G73" s="1111">
        <v>29205</v>
      </c>
      <c r="H73" s="1076">
        <f t="shared" si="0"/>
        <v>107.39896296841098</v>
      </c>
      <c r="I73" s="1076">
        <f t="shared" si="1"/>
        <v>112.80086022967268</v>
      </c>
      <c r="J73" s="1110">
        <v>30125</v>
      </c>
      <c r="K73" s="1076">
        <f t="shared" si="2"/>
        <v>103.15014552302688</v>
      </c>
    </row>
    <row r="74" spans="1:11" ht="24" customHeight="1">
      <c r="A74" s="10" t="s">
        <v>98</v>
      </c>
      <c r="B74" s="11" t="s">
        <v>99</v>
      </c>
      <c r="C74" s="10"/>
      <c r="D74" s="1100"/>
      <c r="E74" s="1100"/>
      <c r="F74" s="1100"/>
      <c r="G74" s="1100"/>
      <c r="H74" s="1076"/>
      <c r="I74" s="1076"/>
      <c r="J74" s="1100"/>
      <c r="K74" s="1076"/>
    </row>
    <row r="75" spans="1:11" ht="31.5" customHeight="1">
      <c r="A75" s="123" t="s">
        <v>11</v>
      </c>
      <c r="B75" s="112" t="s">
        <v>100</v>
      </c>
      <c r="C75" s="114" t="s">
        <v>9</v>
      </c>
      <c r="D75" s="1110">
        <v>10907.995</v>
      </c>
      <c r="E75" s="1110">
        <v>12760</v>
      </c>
      <c r="F75" s="1104"/>
      <c r="G75" s="1110">
        <v>12814.915</v>
      </c>
      <c r="H75" s="1076">
        <f aca="true" t="shared" si="3" ref="H75:H92">G75/D75*100</f>
        <v>117.48185619813725</v>
      </c>
      <c r="I75" s="1076">
        <f aca="true" t="shared" si="4" ref="I75:I92">G75/E75*100</f>
        <v>100.43036833855801</v>
      </c>
      <c r="J75" s="1104">
        <v>14600</v>
      </c>
      <c r="K75" s="1076">
        <f t="shared" si="2"/>
        <v>113.92974514462249</v>
      </c>
    </row>
    <row r="76" spans="1:11" ht="24" customHeight="1">
      <c r="A76" s="10" t="s">
        <v>101</v>
      </c>
      <c r="B76" s="11" t="s">
        <v>102</v>
      </c>
      <c r="C76" s="114"/>
      <c r="D76" s="1104"/>
      <c r="E76" s="1104"/>
      <c r="F76" s="1104"/>
      <c r="G76" s="1104"/>
      <c r="H76" s="1076"/>
      <c r="I76" s="1076"/>
      <c r="J76" s="1104"/>
      <c r="K76" s="1076"/>
    </row>
    <row r="77" spans="1:11" ht="24" customHeight="1">
      <c r="A77" s="10"/>
      <c r="B77" s="11" t="s">
        <v>473</v>
      </c>
      <c r="C77" s="1112"/>
      <c r="D77" s="1110"/>
      <c r="E77" s="1110"/>
      <c r="F77" s="1104"/>
      <c r="G77" s="1104"/>
      <c r="H77" s="1076"/>
      <c r="I77" s="1076"/>
      <c r="J77" s="1104"/>
      <c r="K77" s="1076"/>
    </row>
    <row r="78" spans="1:11" ht="24" customHeight="1">
      <c r="A78" s="10"/>
      <c r="B78" s="1113" t="s">
        <v>474</v>
      </c>
      <c r="C78" s="1114" t="s">
        <v>475</v>
      </c>
      <c r="D78" s="1110">
        <v>12.7</v>
      </c>
      <c r="E78" s="1110">
        <v>13</v>
      </c>
      <c r="F78" s="1104"/>
      <c r="G78" s="1104">
        <v>13</v>
      </c>
      <c r="H78" s="1076">
        <f t="shared" si="3"/>
        <v>102.36220472440945</v>
      </c>
      <c r="I78" s="1076">
        <f t="shared" si="4"/>
        <v>100</v>
      </c>
      <c r="J78" s="1104">
        <v>13.65</v>
      </c>
      <c r="K78" s="1076">
        <f t="shared" si="2"/>
        <v>105</v>
      </c>
    </row>
    <row r="79" spans="1:11" ht="24" customHeight="1">
      <c r="A79" s="10"/>
      <c r="B79" s="1113" t="s">
        <v>476</v>
      </c>
      <c r="C79" s="1114" t="s">
        <v>477</v>
      </c>
      <c r="D79" s="1110">
        <v>140</v>
      </c>
      <c r="E79" s="1110">
        <v>150</v>
      </c>
      <c r="F79" s="1104"/>
      <c r="G79" s="1104">
        <v>150</v>
      </c>
      <c r="H79" s="1076">
        <f t="shared" si="3"/>
        <v>107.14285714285714</v>
      </c>
      <c r="I79" s="1076">
        <f t="shared" si="4"/>
        <v>100</v>
      </c>
      <c r="J79" s="1104">
        <v>155</v>
      </c>
      <c r="K79" s="1076">
        <f aca="true" t="shared" si="5" ref="K79:K92">J79/G79*100</f>
        <v>103.33333333333334</v>
      </c>
    </row>
    <row r="80" spans="1:11" ht="24" customHeight="1">
      <c r="A80" s="10"/>
      <c r="B80" s="1113" t="s">
        <v>478</v>
      </c>
      <c r="C80" s="1114" t="s">
        <v>475</v>
      </c>
      <c r="D80" s="1110">
        <v>13.3</v>
      </c>
      <c r="E80" s="1110">
        <v>16</v>
      </c>
      <c r="F80" s="1104"/>
      <c r="G80" s="1104">
        <v>16</v>
      </c>
      <c r="H80" s="1076">
        <f t="shared" si="3"/>
        <v>120.30075187969925</v>
      </c>
      <c r="I80" s="1076">
        <f t="shared" si="4"/>
        <v>100</v>
      </c>
      <c r="J80" s="1104">
        <v>17.5</v>
      </c>
      <c r="K80" s="1076">
        <f t="shared" si="5"/>
        <v>109.375</v>
      </c>
    </row>
    <row r="81" spans="1:11" ht="24" customHeight="1">
      <c r="A81" s="10"/>
      <c r="B81" s="1113" t="s">
        <v>479</v>
      </c>
      <c r="C81" s="1114" t="s">
        <v>475</v>
      </c>
      <c r="D81" s="1110">
        <v>9.6</v>
      </c>
      <c r="E81" s="1110">
        <v>10</v>
      </c>
      <c r="F81" s="1104"/>
      <c r="G81" s="1104">
        <v>10</v>
      </c>
      <c r="H81" s="1076">
        <f t="shared" si="3"/>
        <v>104.16666666666667</v>
      </c>
      <c r="I81" s="1076">
        <f t="shared" si="4"/>
        <v>100</v>
      </c>
      <c r="J81" s="1104">
        <v>10.02</v>
      </c>
      <c r="K81" s="1076">
        <f t="shared" si="5"/>
        <v>100.2</v>
      </c>
    </row>
    <row r="82" spans="1:11" ht="24" customHeight="1">
      <c r="A82" s="10"/>
      <c r="B82" s="11" t="s">
        <v>480</v>
      </c>
      <c r="C82" s="1114"/>
      <c r="D82" s="1110"/>
      <c r="E82" s="1110"/>
      <c r="F82" s="1104"/>
      <c r="G82" s="1104"/>
      <c r="H82" s="1076"/>
      <c r="I82" s="1076"/>
      <c r="J82" s="1104"/>
      <c r="K82" s="1076"/>
    </row>
    <row r="83" spans="1:11" ht="24" customHeight="1">
      <c r="A83" s="10"/>
      <c r="B83" s="1113" t="s">
        <v>447</v>
      </c>
      <c r="C83" s="1114" t="s">
        <v>481</v>
      </c>
      <c r="D83" s="1110">
        <v>5</v>
      </c>
      <c r="E83" s="1110">
        <v>5</v>
      </c>
      <c r="F83" s="1104"/>
      <c r="G83" s="1104">
        <v>5</v>
      </c>
      <c r="H83" s="1076">
        <f t="shared" si="3"/>
        <v>100</v>
      </c>
      <c r="I83" s="1076">
        <f t="shared" si="4"/>
        <v>100</v>
      </c>
      <c r="J83" s="1104">
        <v>5</v>
      </c>
      <c r="K83" s="1076">
        <f t="shared" si="5"/>
        <v>100</v>
      </c>
    </row>
    <row r="84" spans="1:11" ht="24" customHeight="1">
      <c r="A84" s="10"/>
      <c r="B84" s="1113" t="s">
        <v>448</v>
      </c>
      <c r="C84" s="1114" t="s">
        <v>481</v>
      </c>
      <c r="D84" s="1110">
        <v>8</v>
      </c>
      <c r="E84" s="1110">
        <v>11</v>
      </c>
      <c r="F84" s="1104"/>
      <c r="G84" s="1104">
        <v>11</v>
      </c>
      <c r="H84" s="1076">
        <f t="shared" si="3"/>
        <v>137.5</v>
      </c>
      <c r="I84" s="1076">
        <f t="shared" si="4"/>
        <v>100</v>
      </c>
      <c r="J84" s="1104">
        <v>11.4</v>
      </c>
      <c r="K84" s="1076">
        <f t="shared" si="5"/>
        <v>103.63636363636364</v>
      </c>
    </row>
    <row r="85" spans="1:11" ht="24" customHeight="1">
      <c r="A85" s="10"/>
      <c r="B85" s="112" t="s">
        <v>482</v>
      </c>
      <c r="C85" s="1114" t="s">
        <v>481</v>
      </c>
      <c r="D85" s="1110">
        <v>9</v>
      </c>
      <c r="E85" s="1110">
        <v>17</v>
      </c>
      <c r="F85" s="1104"/>
      <c r="G85" s="1104">
        <v>17</v>
      </c>
      <c r="H85" s="1076">
        <f t="shared" si="3"/>
        <v>188.88888888888889</v>
      </c>
      <c r="I85" s="1076">
        <f t="shared" si="4"/>
        <v>100</v>
      </c>
      <c r="J85" s="1104">
        <v>19.5</v>
      </c>
      <c r="K85" s="1076">
        <f t="shared" si="5"/>
        <v>114.70588235294117</v>
      </c>
    </row>
    <row r="86" spans="1:11" ht="18" customHeight="1">
      <c r="A86" s="10"/>
      <c r="B86" s="1115" t="s">
        <v>483</v>
      </c>
      <c r="C86" s="1116"/>
      <c r="D86" s="1094"/>
      <c r="E86" s="1094"/>
      <c r="F86" s="1104"/>
      <c r="G86" s="1104"/>
      <c r="H86" s="1076"/>
      <c r="I86" s="1076"/>
      <c r="J86" s="1104"/>
      <c r="K86" s="1076"/>
    </row>
    <row r="87" spans="1:11" ht="29.25" customHeight="1">
      <c r="A87" s="10"/>
      <c r="B87" s="1115" t="s">
        <v>484</v>
      </c>
      <c r="C87" s="1117"/>
      <c r="D87" s="1094"/>
      <c r="E87" s="1094"/>
      <c r="F87" s="1104"/>
      <c r="G87" s="1104"/>
      <c r="H87" s="1076"/>
      <c r="I87" s="1076"/>
      <c r="J87" s="1104"/>
      <c r="K87" s="1076"/>
    </row>
    <row r="88" spans="1:11" ht="32.25" customHeight="1">
      <c r="A88" s="10"/>
      <c r="B88" s="1118" t="s">
        <v>485</v>
      </c>
      <c r="C88" s="1119" t="s">
        <v>486</v>
      </c>
      <c r="D88" s="1120">
        <v>1549.757348219708</v>
      </c>
      <c r="E88" s="1120">
        <v>1800</v>
      </c>
      <c r="F88" s="1121"/>
      <c r="G88" s="1120">
        <v>1813.2072560483757</v>
      </c>
      <c r="H88" s="1076">
        <f t="shared" si="3"/>
        <v>116.9994294998057</v>
      </c>
      <c r="I88" s="1076">
        <f t="shared" si="4"/>
        <v>100.73373644713199</v>
      </c>
      <c r="J88" s="1092">
        <v>1879.1</v>
      </c>
      <c r="K88" s="1076">
        <f t="shared" si="5"/>
        <v>103.63404369422324</v>
      </c>
    </row>
    <row r="89" spans="1:11" ht="31.5">
      <c r="A89" s="123"/>
      <c r="B89" s="1118" t="s">
        <v>487</v>
      </c>
      <c r="C89" s="1119" t="s">
        <v>488</v>
      </c>
      <c r="D89" s="1120">
        <v>290330.8595014583</v>
      </c>
      <c r="E89" s="1120">
        <v>330000</v>
      </c>
      <c r="F89" s="1121"/>
      <c r="G89" s="1120">
        <v>335742.67095438414</v>
      </c>
      <c r="H89" s="1076">
        <f t="shared" si="3"/>
        <v>115.64140013600507</v>
      </c>
      <c r="I89" s="1076">
        <f t="shared" si="4"/>
        <v>101.74020331951034</v>
      </c>
      <c r="J89" s="1092">
        <v>347095.7</v>
      </c>
      <c r="K89" s="1076">
        <f t="shared" si="5"/>
        <v>103.38146742365029</v>
      </c>
    </row>
    <row r="90" spans="1:11" ht="27" customHeight="1">
      <c r="A90" s="114"/>
      <c r="B90" s="1115" t="s">
        <v>489</v>
      </c>
      <c r="C90" s="1119"/>
      <c r="D90" s="1120"/>
      <c r="E90" s="1120"/>
      <c r="F90" s="1121"/>
      <c r="G90" s="1120"/>
      <c r="H90" s="1076"/>
      <c r="I90" s="1076"/>
      <c r="J90" s="1092"/>
      <c r="K90" s="1076"/>
    </row>
    <row r="91" spans="1:11" ht="43.5" customHeight="1">
      <c r="A91" s="123"/>
      <c r="B91" s="1118" t="s">
        <v>490</v>
      </c>
      <c r="C91" s="1119" t="s">
        <v>491</v>
      </c>
      <c r="D91" s="1120">
        <v>3521.552579841711</v>
      </c>
      <c r="E91" s="1120">
        <v>3750</v>
      </c>
      <c r="F91" s="1121"/>
      <c r="G91" s="1120">
        <v>3808.349746552427</v>
      </c>
      <c r="H91" s="1076">
        <f t="shared" si="3"/>
        <v>108.1440546522695</v>
      </c>
      <c r="I91" s="1076">
        <f t="shared" si="4"/>
        <v>101.55599324139806</v>
      </c>
      <c r="J91" s="1092">
        <v>3880</v>
      </c>
      <c r="K91" s="1076">
        <f t="shared" si="5"/>
        <v>101.88139898423026</v>
      </c>
    </row>
    <row r="92" spans="1:11" ht="31.5">
      <c r="A92" s="114"/>
      <c r="B92" s="1118" t="s">
        <v>492</v>
      </c>
      <c r="C92" s="1119" t="s">
        <v>493</v>
      </c>
      <c r="D92" s="1120">
        <v>158000.52761968513</v>
      </c>
      <c r="E92" s="1120">
        <v>170000</v>
      </c>
      <c r="F92" s="1121"/>
      <c r="G92" s="1120">
        <v>171912.25858381047</v>
      </c>
      <c r="H92" s="1076">
        <f t="shared" si="3"/>
        <v>108.804863612615</v>
      </c>
      <c r="I92" s="1076">
        <f t="shared" si="4"/>
        <v>101.12485799047674</v>
      </c>
      <c r="J92" s="1092">
        <v>175390.3</v>
      </c>
      <c r="K92" s="1076">
        <f t="shared" si="5"/>
        <v>102.0231491604154</v>
      </c>
    </row>
  </sheetData>
  <sheetProtection/>
  <mergeCells count="10">
    <mergeCell ref="A2:K2"/>
    <mergeCell ref="A3:K3"/>
    <mergeCell ref="A4:K4"/>
    <mergeCell ref="A6:A7"/>
    <mergeCell ref="B6:B7"/>
    <mergeCell ref="C6:C7"/>
    <mergeCell ref="D6:D7"/>
    <mergeCell ref="E6:I6"/>
    <mergeCell ref="J6:J7"/>
    <mergeCell ref="K6:K7"/>
  </mergeCells>
  <printOptions horizontalCentered="1"/>
  <pageMargins left="0.3937007874015748" right="0.3937007874015748" top="0.4724409448818898" bottom="0.5118110236220472" header="0.31496062992125984" footer="0.31496062992125984"/>
  <pageSetup firstPageNumber="1" useFirstPageNumber="1" fitToHeight="0" fitToWidth="1" horizontalDpi="600" verticalDpi="600" orientation="landscape" paperSize="9" scale="97" r:id="rId1"/>
  <headerFooter differentFirst="1">
    <oddFooter>&amp;R&amp;P</oddFooter>
  </headerFooter>
</worksheet>
</file>

<file path=xl/worksheets/sheet20.xml><?xml version="1.0" encoding="utf-8"?>
<worksheet xmlns="http://schemas.openxmlformats.org/spreadsheetml/2006/main" xmlns:r="http://schemas.openxmlformats.org/officeDocument/2006/relationships">
  <dimension ref="A1:E16"/>
  <sheetViews>
    <sheetView workbookViewId="0" topLeftCell="A1">
      <selection activeCell="C7" sqref="C7"/>
    </sheetView>
  </sheetViews>
  <sheetFormatPr defaultColWidth="8.625" defaultRowHeight="14.25" customHeight="1"/>
  <cols>
    <col min="1" max="1" width="6.75390625" style="1321" customWidth="1"/>
    <col min="2" max="2" width="37.50390625" style="1321" customWidth="1"/>
    <col min="3" max="3" width="122.375" style="1321" customWidth="1"/>
    <col min="4" max="4" width="9.125" style="1338" customWidth="1"/>
    <col min="5" max="5" width="8.75390625" style="1321" bestFit="1" customWidth="1"/>
    <col min="6" max="16384" width="8.625" style="1321" customWidth="1"/>
  </cols>
  <sheetData>
    <row r="1" spans="1:4" ht="14.25" customHeight="1">
      <c r="A1" s="1532" t="s">
        <v>1375</v>
      </c>
      <c r="B1" s="1532"/>
      <c r="C1" s="1532"/>
      <c r="D1" s="1532"/>
    </row>
    <row r="2" spans="1:4" ht="20.25" customHeight="1">
      <c r="A2" s="1531" t="s">
        <v>1376</v>
      </c>
      <c r="B2" s="1531"/>
      <c r="C2" s="1531"/>
      <c r="D2" s="1531"/>
    </row>
    <row r="3" spans="1:4" ht="14.25" customHeight="1">
      <c r="A3" s="1533" t="s">
        <v>1399</v>
      </c>
      <c r="B3" s="1533"/>
      <c r="C3" s="1533"/>
      <c r="D3" s="1533"/>
    </row>
    <row r="4" spans="1:4" ht="14.25" customHeight="1">
      <c r="A4" s="1322"/>
      <c r="B4" s="1322"/>
      <c r="C4" s="1322"/>
      <c r="D4" s="1322"/>
    </row>
    <row r="5" spans="1:4" ht="14.25" customHeight="1">
      <c r="A5" s="1534" t="s">
        <v>387</v>
      </c>
      <c r="B5" s="1534" t="s">
        <v>1377</v>
      </c>
      <c r="C5" s="1535" t="s">
        <v>1387</v>
      </c>
      <c r="D5" s="1530" t="s">
        <v>284</v>
      </c>
    </row>
    <row r="6" spans="1:4" ht="25.5" customHeight="1">
      <c r="A6" s="1534"/>
      <c r="B6" s="1534"/>
      <c r="C6" s="1535"/>
      <c r="D6" s="1530"/>
    </row>
    <row r="7" spans="1:4" ht="336" customHeight="1">
      <c r="A7" s="1335">
        <v>1</v>
      </c>
      <c r="B7" s="1323" t="s">
        <v>1378</v>
      </c>
      <c r="C7" s="1339" t="s">
        <v>1393</v>
      </c>
      <c r="D7" s="1324"/>
    </row>
    <row r="8" spans="1:4" ht="178.5" customHeight="1">
      <c r="A8" s="1335">
        <v>2</v>
      </c>
      <c r="B8" s="1323" t="s">
        <v>1379</v>
      </c>
      <c r="C8" s="1339" t="s">
        <v>1388</v>
      </c>
      <c r="D8" s="1325"/>
    </row>
    <row r="9" spans="1:4" ht="93.75">
      <c r="A9" s="1335">
        <v>3</v>
      </c>
      <c r="B9" s="1323" t="s">
        <v>1391</v>
      </c>
      <c r="C9" s="1339" t="s">
        <v>1394</v>
      </c>
      <c r="D9" s="1324"/>
    </row>
    <row r="10" spans="1:4" ht="150">
      <c r="A10" s="1335">
        <v>4</v>
      </c>
      <c r="B10" s="1323" t="s">
        <v>1380</v>
      </c>
      <c r="C10" s="1339" t="s">
        <v>1395</v>
      </c>
      <c r="D10" s="1324"/>
    </row>
    <row r="11" spans="1:4" ht="123.75" customHeight="1">
      <c r="A11" s="1335">
        <v>5</v>
      </c>
      <c r="B11" s="1323" t="s">
        <v>1381</v>
      </c>
      <c r="C11" s="1336" t="s">
        <v>1392</v>
      </c>
      <c r="D11" s="1324"/>
    </row>
    <row r="12" spans="1:4" ht="150">
      <c r="A12" s="1335">
        <v>6</v>
      </c>
      <c r="B12" s="1323" t="s">
        <v>1382</v>
      </c>
      <c r="C12" s="1339" t="s">
        <v>1396</v>
      </c>
      <c r="D12" s="1324"/>
    </row>
    <row r="13" spans="1:4" ht="131.25">
      <c r="A13" s="1337">
        <v>7</v>
      </c>
      <c r="B13" s="1323" t="s">
        <v>1383</v>
      </c>
      <c r="C13" s="1368" t="s">
        <v>1397</v>
      </c>
      <c r="D13" s="1324"/>
    </row>
    <row r="14" spans="1:4" ht="58.5" customHeight="1">
      <c r="A14" s="1335">
        <v>8</v>
      </c>
      <c r="B14" s="1323" t="s">
        <v>1384</v>
      </c>
      <c r="C14" s="1339" t="s">
        <v>1390</v>
      </c>
      <c r="D14" s="1324"/>
    </row>
    <row r="15" spans="1:4" ht="117" customHeight="1">
      <c r="A15" s="1335">
        <v>9</v>
      </c>
      <c r="B15" s="1323" t="s">
        <v>1385</v>
      </c>
      <c r="C15" s="1339" t="s">
        <v>1389</v>
      </c>
      <c r="D15" s="1324"/>
    </row>
    <row r="16" spans="1:5" ht="123" customHeight="1">
      <c r="A16" s="1335">
        <v>10</v>
      </c>
      <c r="B16" s="1323" t="s">
        <v>1386</v>
      </c>
      <c r="C16" s="1339" t="s">
        <v>1398</v>
      </c>
      <c r="D16" s="1324"/>
      <c r="E16" s="1326"/>
    </row>
  </sheetData>
  <sheetProtection/>
  <mergeCells count="7">
    <mergeCell ref="D5:D6"/>
    <mergeCell ref="A2:D2"/>
    <mergeCell ref="A1:D1"/>
    <mergeCell ref="A3:D3"/>
    <mergeCell ref="A5:A6"/>
    <mergeCell ref="B5:B6"/>
    <mergeCell ref="C5:C6"/>
  </mergeCells>
  <printOptions horizontalCentered="1"/>
  <pageMargins left="0.11811023622047245" right="0.11811023622047245" top="0.5118110236220472" bottom="0.5118110236220472" header="0.31496062992125984" footer="0.31496062992125984"/>
  <pageSetup horizontalDpi="600" verticalDpi="600" orientation="landscape" paperSize="9" scale="75" r:id="rId1"/>
</worksheet>
</file>

<file path=xl/worksheets/sheet3.xml><?xml version="1.0" encoding="utf-8"?>
<worksheet xmlns="http://schemas.openxmlformats.org/spreadsheetml/2006/main" xmlns:r="http://schemas.openxmlformats.org/officeDocument/2006/relationships">
  <sheetPr>
    <tabColor rgb="FFFF0000"/>
  </sheetPr>
  <dimension ref="A1:Y62"/>
  <sheetViews>
    <sheetView view="pageBreakPreview" zoomScaleSheetLayoutView="100" workbookViewId="0" topLeftCell="A1">
      <selection activeCell="G7" sqref="G7:G8"/>
    </sheetView>
  </sheetViews>
  <sheetFormatPr defaultColWidth="8.625" defaultRowHeight="15.75"/>
  <cols>
    <col min="1" max="1" width="3.375" style="355" customWidth="1"/>
    <col min="2" max="2" width="19.00390625" style="369" customWidth="1"/>
    <col min="3" max="3" width="5.875" style="355" customWidth="1"/>
    <col min="4" max="4" width="9.50390625" style="369" customWidth="1"/>
    <col min="5" max="5" width="8.875" style="369" customWidth="1"/>
    <col min="6" max="6" width="9.625" style="370" customWidth="1"/>
    <col min="7" max="7" width="9.50390625" style="369" customWidth="1"/>
    <col min="8" max="8" width="8.75390625" style="369" customWidth="1"/>
    <col min="9" max="9" width="8.125" style="369" customWidth="1"/>
    <col min="10" max="10" width="8.25390625" style="369" customWidth="1"/>
    <col min="11" max="12" width="7.75390625" style="369" customWidth="1"/>
    <col min="13" max="13" width="8.625" style="369" customWidth="1"/>
    <col min="14" max="14" width="7.75390625" style="369" customWidth="1"/>
    <col min="15" max="15" width="8.125" style="369" customWidth="1"/>
    <col min="16" max="17" width="7.75390625" style="369" customWidth="1"/>
    <col min="18" max="18" width="8.25390625" style="369" customWidth="1"/>
    <col min="19" max="19" width="8.375" style="369" customWidth="1"/>
    <col min="20" max="20" width="9.25390625" style="369" customWidth="1"/>
    <col min="21" max="21" width="13.00390625" style="369" bestFit="1" customWidth="1"/>
    <col min="22" max="22" width="14.50390625" style="369" bestFit="1" customWidth="1"/>
    <col min="23" max="25" width="13.00390625" style="369" bestFit="1" customWidth="1"/>
    <col min="26" max="27" width="9.375" style="369" bestFit="1" customWidth="1"/>
    <col min="28" max="30" width="8.625" style="369" customWidth="1"/>
    <col min="31" max="31" width="9.125" style="369" bestFit="1" customWidth="1"/>
    <col min="32" max="16384" width="8.625" style="369" customWidth="1"/>
  </cols>
  <sheetData>
    <row r="1" spans="1:19" s="354" customFormat="1" ht="12.75" customHeight="1">
      <c r="A1" s="1122" t="s">
        <v>1289</v>
      </c>
      <c r="B1" s="1123"/>
      <c r="C1" s="1123"/>
      <c r="D1" s="1123"/>
      <c r="E1" s="1123"/>
      <c r="F1" s="1124"/>
      <c r="G1" s="1123"/>
      <c r="H1" s="1123"/>
      <c r="I1" s="1123"/>
      <c r="J1" s="1123"/>
      <c r="K1" s="1123"/>
      <c r="L1" s="1123"/>
      <c r="M1" s="1123"/>
      <c r="N1" s="1123"/>
      <c r="O1" s="1123"/>
      <c r="P1" s="1123"/>
      <c r="Q1" s="1123"/>
      <c r="R1" s="1123"/>
      <c r="S1" s="1123"/>
    </row>
    <row r="2" spans="1:19" s="354" customFormat="1" ht="21.75" customHeight="1">
      <c r="A2" s="1389" t="s">
        <v>1285</v>
      </c>
      <c r="B2" s="1389"/>
      <c r="C2" s="1389"/>
      <c r="D2" s="1389"/>
      <c r="E2" s="1389"/>
      <c r="F2" s="1389"/>
      <c r="G2" s="1389"/>
      <c r="H2" s="1389"/>
      <c r="I2" s="1389"/>
      <c r="J2" s="1389"/>
      <c r="K2" s="1389"/>
      <c r="L2" s="1389"/>
      <c r="M2" s="1389"/>
      <c r="N2" s="1389"/>
      <c r="O2" s="1389"/>
      <c r="P2" s="1389"/>
      <c r="Q2" s="1389"/>
      <c r="R2" s="1389"/>
      <c r="S2" s="1389"/>
    </row>
    <row r="3" spans="1:19" s="354" customFormat="1" ht="12.75" customHeight="1">
      <c r="A3" s="1390" t="s">
        <v>1399</v>
      </c>
      <c r="B3" s="1390"/>
      <c r="C3" s="1390"/>
      <c r="D3" s="1390"/>
      <c r="E3" s="1390"/>
      <c r="F3" s="1390"/>
      <c r="G3" s="1390"/>
      <c r="H3" s="1390"/>
      <c r="I3" s="1390"/>
      <c r="J3" s="1390"/>
      <c r="K3" s="1390"/>
      <c r="L3" s="1390"/>
      <c r="M3" s="1390"/>
      <c r="N3" s="1390"/>
      <c r="O3" s="1390"/>
      <c r="P3" s="1390"/>
      <c r="Q3" s="1390"/>
      <c r="R3" s="1390"/>
      <c r="S3" s="1390"/>
    </row>
    <row r="4" spans="1:19" s="354" customFormat="1" ht="12.75" customHeight="1">
      <c r="A4" s="1123"/>
      <c r="B4" s="1123"/>
      <c r="C4" s="1123"/>
      <c r="D4" s="1123"/>
      <c r="E4" s="1123"/>
      <c r="F4" s="1124"/>
      <c r="G4" s="1123"/>
      <c r="H4" s="1123"/>
      <c r="I4" s="1123"/>
      <c r="J4" s="1123"/>
      <c r="K4" s="1123"/>
      <c r="L4" s="1123"/>
      <c r="M4" s="1123"/>
      <c r="N4" s="1123"/>
      <c r="O4" s="1123"/>
      <c r="P4" s="1123"/>
      <c r="Q4" s="1123"/>
      <c r="R4" s="1123"/>
      <c r="S4" s="1123"/>
    </row>
    <row r="5" spans="1:23" s="358" customFormat="1" ht="18" customHeight="1">
      <c r="A5" s="1391" t="s">
        <v>2</v>
      </c>
      <c r="B5" s="1383" t="s">
        <v>3</v>
      </c>
      <c r="C5" s="1391" t="s">
        <v>497</v>
      </c>
      <c r="D5" s="1392" t="s">
        <v>1286</v>
      </c>
      <c r="E5" s="1383" t="s">
        <v>1279</v>
      </c>
      <c r="F5" s="1383"/>
      <c r="G5" s="1384" t="s">
        <v>1287</v>
      </c>
      <c r="H5" s="1385"/>
      <c r="I5" s="1385"/>
      <c r="J5" s="1385"/>
      <c r="K5" s="1385"/>
      <c r="L5" s="1385"/>
      <c r="M5" s="1385"/>
      <c r="N5" s="1385"/>
      <c r="O5" s="1385"/>
      <c r="P5" s="1385"/>
      <c r="Q5" s="1386"/>
      <c r="R5" s="1383" t="s">
        <v>517</v>
      </c>
      <c r="S5" s="1383"/>
      <c r="T5" s="1387" t="s">
        <v>284</v>
      </c>
      <c r="U5" s="1388"/>
      <c r="V5" s="356"/>
      <c r="W5" s="357"/>
    </row>
    <row r="6" spans="1:23" s="358" customFormat="1" ht="42" customHeight="1">
      <c r="A6" s="1391"/>
      <c r="B6" s="1383"/>
      <c r="C6" s="1391"/>
      <c r="D6" s="1392"/>
      <c r="E6" s="1125" t="s">
        <v>5</v>
      </c>
      <c r="F6" s="1126" t="s">
        <v>1065</v>
      </c>
      <c r="G6" s="1126" t="s">
        <v>287</v>
      </c>
      <c r="H6" s="1125" t="s">
        <v>500</v>
      </c>
      <c r="I6" s="1125" t="s">
        <v>520</v>
      </c>
      <c r="J6" s="1125" t="s">
        <v>785</v>
      </c>
      <c r="K6" s="1125" t="s">
        <v>521</v>
      </c>
      <c r="L6" s="1125" t="s">
        <v>568</v>
      </c>
      <c r="M6" s="1125" t="s">
        <v>564</v>
      </c>
      <c r="N6" s="1125" t="s">
        <v>1066</v>
      </c>
      <c r="O6" s="1125" t="s">
        <v>1067</v>
      </c>
      <c r="P6" s="1125" t="s">
        <v>503</v>
      </c>
      <c r="Q6" s="1125" t="s">
        <v>1068</v>
      </c>
      <c r="R6" s="1125" t="s">
        <v>983</v>
      </c>
      <c r="S6" s="1125" t="s">
        <v>1288</v>
      </c>
      <c r="T6" s="1387"/>
      <c r="U6" s="1388"/>
      <c r="V6" s="356"/>
      <c r="W6" s="357"/>
    </row>
    <row r="7" spans="1:19" s="359" customFormat="1" ht="17.25" customHeight="1">
      <c r="A7" s="1127" t="s">
        <v>46</v>
      </c>
      <c r="B7" s="1128" t="s">
        <v>1069</v>
      </c>
      <c r="C7" s="1127"/>
      <c r="D7" s="1129"/>
      <c r="E7" s="1129"/>
      <c r="F7" s="1130"/>
      <c r="G7" s="1131"/>
      <c r="H7" s="1132"/>
      <c r="I7" s="1129"/>
      <c r="J7" s="1129"/>
      <c r="K7" s="1129"/>
      <c r="L7" s="1129"/>
      <c r="M7" s="1129"/>
      <c r="N7" s="1129"/>
      <c r="O7" s="1129"/>
      <c r="P7" s="1129"/>
      <c r="Q7" s="1129"/>
      <c r="R7" s="1129"/>
      <c r="S7" s="1129"/>
    </row>
    <row r="8" spans="1:19" s="359" customFormat="1" ht="17.25" customHeight="1">
      <c r="A8" s="1127" t="s">
        <v>104</v>
      </c>
      <c r="B8" s="1128" t="s">
        <v>1070</v>
      </c>
      <c r="C8" s="1127"/>
      <c r="D8" s="1129"/>
      <c r="E8" s="1133"/>
      <c r="F8" s="1133"/>
      <c r="G8" s="1134"/>
      <c r="H8" s="1132"/>
      <c r="I8" s="1129"/>
      <c r="J8" s="1129"/>
      <c r="K8" s="1129"/>
      <c r="L8" s="1129"/>
      <c r="M8" s="1129"/>
      <c r="N8" s="1129"/>
      <c r="O8" s="1129"/>
      <c r="P8" s="1129"/>
      <c r="Q8" s="1129"/>
      <c r="R8" s="1129"/>
      <c r="S8" s="1129"/>
    </row>
    <row r="9" spans="1:19" s="359" customFormat="1" ht="27.75" customHeight="1">
      <c r="A9" s="1127"/>
      <c r="B9" s="1135" t="s">
        <v>1108</v>
      </c>
      <c r="C9" s="1127" t="s">
        <v>507</v>
      </c>
      <c r="D9" s="1148">
        <f>D16+D20+D24+D28</f>
        <v>81068.8</v>
      </c>
      <c r="E9" s="1148">
        <v>80568.492</v>
      </c>
      <c r="F9" s="1148">
        <f>F16+F20+F24+F28</f>
        <v>80577.12</v>
      </c>
      <c r="G9" s="1148">
        <f>SUM(H9:Q9)</f>
        <v>80786.662</v>
      </c>
      <c r="H9" s="1148">
        <f>H16+H20+H24+H28</f>
        <v>17727.22</v>
      </c>
      <c r="I9" s="1148">
        <f aca="true" t="shared" si="0" ref="I9:Q9">I16+I20+I24+I28</f>
        <v>4233.4</v>
      </c>
      <c r="J9" s="1148">
        <f t="shared" si="0"/>
        <v>12505</v>
      </c>
      <c r="K9" s="1148">
        <f t="shared" si="0"/>
        <v>6503.28</v>
      </c>
      <c r="L9" s="1148">
        <f t="shared" si="0"/>
        <v>8529</v>
      </c>
      <c r="M9" s="1148">
        <f t="shared" si="0"/>
        <v>9719.5</v>
      </c>
      <c r="N9" s="1148">
        <f t="shared" si="0"/>
        <v>1298.962</v>
      </c>
      <c r="O9" s="1148">
        <f t="shared" si="0"/>
        <v>13000</v>
      </c>
      <c r="P9" s="1148">
        <f t="shared" si="0"/>
        <v>6466</v>
      </c>
      <c r="Q9" s="1148">
        <f t="shared" si="0"/>
        <v>804.3</v>
      </c>
      <c r="R9" s="1148">
        <f>F9/D9*100</f>
        <v>99.39350280255782</v>
      </c>
      <c r="S9" s="1148">
        <f>G9/F9*100</f>
        <v>100.26005148856152</v>
      </c>
    </row>
    <row r="10" spans="1:20" s="360" customFormat="1" ht="17.25" customHeight="1">
      <c r="A10" s="1136"/>
      <c r="B10" s="1137" t="s">
        <v>505</v>
      </c>
      <c r="C10" s="1136" t="s">
        <v>446</v>
      </c>
      <c r="D10" s="1352">
        <f>D12+D30</f>
        <v>264596.8</v>
      </c>
      <c r="E10" s="1138">
        <v>264828.59616</v>
      </c>
      <c r="F10" s="1351">
        <f>F12+F30</f>
        <v>267490.22</v>
      </c>
      <c r="G10" s="1138">
        <f>SUM(H10:Q10)</f>
        <v>270520.09745329694</v>
      </c>
      <c r="H10" s="1138">
        <f>H12+H30</f>
        <v>95405.30413140004</v>
      </c>
      <c r="I10" s="1138">
        <f>I12+I30</f>
        <v>18537.474000000002</v>
      </c>
      <c r="J10" s="1138">
        <f aca="true" t="shared" si="1" ref="J10:Q10">J12+J30</f>
        <v>37500.007800000036</v>
      </c>
      <c r="K10" s="1138">
        <f t="shared" si="1"/>
        <v>15613.034</v>
      </c>
      <c r="L10" s="1138">
        <f t="shared" si="1"/>
        <v>19818.93860000001</v>
      </c>
      <c r="M10" s="1138">
        <f t="shared" si="1"/>
        <v>25414.99312189685</v>
      </c>
      <c r="N10" s="1138">
        <f t="shared" si="1"/>
        <v>6993.929200000001</v>
      </c>
      <c r="O10" s="1138">
        <f t="shared" si="1"/>
        <v>30974.14000000001</v>
      </c>
      <c r="P10" s="1138">
        <f t="shared" si="1"/>
        <v>17206.2</v>
      </c>
      <c r="Q10" s="1138">
        <f t="shared" si="1"/>
        <v>3056.0766000000026</v>
      </c>
      <c r="R10" s="1351">
        <f>F10/D10*100</f>
        <v>101.0935204053866</v>
      </c>
      <c r="S10" s="1141">
        <f>G10/F10*100</f>
        <v>101.13270588109613</v>
      </c>
      <c r="T10" s="360">
        <f>F10/E10*100</f>
        <v>101.0050364192513</v>
      </c>
    </row>
    <row r="11" spans="1:19" s="360" customFormat="1" ht="17.25" customHeight="1">
      <c r="A11" s="1136"/>
      <c r="B11" s="1137" t="s">
        <v>10</v>
      </c>
      <c r="C11" s="1136"/>
      <c r="D11" s="1352"/>
      <c r="E11" s="1138"/>
      <c r="F11" s="1138"/>
      <c r="G11" s="1138"/>
      <c r="H11" s="1138"/>
      <c r="I11" s="1138"/>
      <c r="J11" s="1138"/>
      <c r="K11" s="1138"/>
      <c r="L11" s="1138"/>
      <c r="M11" s="1138"/>
      <c r="N11" s="1138"/>
      <c r="O11" s="1138"/>
      <c r="P11" s="1138"/>
      <c r="Q11" s="1138"/>
      <c r="R11" s="1138"/>
      <c r="S11" s="1138"/>
    </row>
    <row r="12" spans="1:19" s="360" customFormat="1" ht="17.25" customHeight="1">
      <c r="A12" s="1136"/>
      <c r="B12" s="1137" t="s">
        <v>1071</v>
      </c>
      <c r="C12" s="1136" t="s">
        <v>446</v>
      </c>
      <c r="D12" s="1353">
        <f>D18+D22+D26</f>
        <v>185345.8</v>
      </c>
      <c r="E12" s="1149">
        <v>185697.25316000002</v>
      </c>
      <c r="F12" s="1149">
        <f>F18+F22+F26</f>
        <v>189338.8</v>
      </c>
      <c r="G12" s="1149">
        <f>SUM(H12:Q12)</f>
        <v>190667.8917800001</v>
      </c>
      <c r="H12" s="1149">
        <f aca="true" t="shared" si="2" ref="H12:Q12">H13+H26</f>
        <v>72273.19358000005</v>
      </c>
      <c r="I12" s="1149">
        <f t="shared" si="2"/>
        <v>15595.01</v>
      </c>
      <c r="J12" s="1149">
        <f t="shared" si="2"/>
        <v>19328.45780000001</v>
      </c>
      <c r="K12" s="1149">
        <f t="shared" si="2"/>
        <v>12625.034</v>
      </c>
      <c r="L12" s="1149">
        <f t="shared" si="2"/>
        <v>16954.167600000015</v>
      </c>
      <c r="M12" s="1149">
        <f t="shared" si="2"/>
        <v>14766.600000000002</v>
      </c>
      <c r="N12" s="1149">
        <f t="shared" si="2"/>
        <v>6085.9062</v>
      </c>
      <c r="O12" s="1149">
        <f t="shared" si="2"/>
        <v>19646.865999999995</v>
      </c>
      <c r="P12" s="1149">
        <f t="shared" si="2"/>
        <v>11097.2</v>
      </c>
      <c r="Q12" s="1149">
        <f t="shared" si="2"/>
        <v>2295.4566000000013</v>
      </c>
      <c r="R12" s="1153">
        <f>F12/D12*100</f>
        <v>102.15435148786753</v>
      </c>
      <c r="S12" s="1149">
        <f>G12/F12*100</f>
        <v>100.70196482707195</v>
      </c>
    </row>
    <row r="13" spans="1:19" s="360" customFormat="1" ht="17.25" customHeight="1">
      <c r="A13" s="1136"/>
      <c r="B13" s="1137" t="s">
        <v>1072</v>
      </c>
      <c r="C13" s="1136" t="s">
        <v>446</v>
      </c>
      <c r="D13" s="1353">
        <f>D18+D22</f>
        <v>150969.8</v>
      </c>
      <c r="E13" s="1149">
        <v>151932.70316</v>
      </c>
      <c r="F13" s="1149">
        <f>F18+F22</f>
        <v>156856.5</v>
      </c>
      <c r="G13" s="1149">
        <f>SUM(H13:Q13)</f>
        <v>156789.07738000006</v>
      </c>
      <c r="H13" s="1149">
        <f aca="true" t="shared" si="3" ref="H13:Q13">H18+H22</f>
        <v>68772.85158000005</v>
      </c>
      <c r="I13" s="1149">
        <f t="shared" si="3"/>
        <v>14457.65</v>
      </c>
      <c r="J13" s="1149">
        <f t="shared" si="3"/>
        <v>14861.707800000004</v>
      </c>
      <c r="K13" s="1149">
        <f t="shared" si="3"/>
        <v>6474.433999999999</v>
      </c>
      <c r="L13" s="1149">
        <f t="shared" si="3"/>
        <v>10406.657200000001</v>
      </c>
      <c r="M13" s="1149">
        <f t="shared" si="3"/>
        <v>11967.608000000002</v>
      </c>
      <c r="N13" s="1149">
        <f t="shared" si="3"/>
        <v>6005.3462</v>
      </c>
      <c r="O13" s="1149">
        <f t="shared" si="3"/>
        <v>12461.265999999996</v>
      </c>
      <c r="P13" s="1149">
        <f t="shared" si="3"/>
        <v>9177.2</v>
      </c>
      <c r="Q13" s="1149">
        <f t="shared" si="3"/>
        <v>2204.3566000000014</v>
      </c>
      <c r="R13" s="1149">
        <f>F13/D13*100</f>
        <v>103.89925667252658</v>
      </c>
      <c r="S13" s="1149">
        <f>G13/F13*100</f>
        <v>99.95701636846421</v>
      </c>
    </row>
    <row r="14" spans="1:20" s="360" customFormat="1" ht="35.25" customHeight="1">
      <c r="A14" s="1136"/>
      <c r="B14" s="1147" t="s">
        <v>1073</v>
      </c>
      <c r="C14" s="1136" t="s">
        <v>19</v>
      </c>
      <c r="D14" s="1353">
        <f>D13/D10*100</f>
        <v>57.056547924993794</v>
      </c>
      <c r="E14" s="1149">
        <v>57.3702029777055</v>
      </c>
      <c r="F14" s="1149">
        <f>F13/F10*100</f>
        <v>58.64008785068853</v>
      </c>
      <c r="G14" s="1149">
        <f>G13/G10*100</f>
        <v>57.95838418514114</v>
      </c>
      <c r="H14" s="1149">
        <f aca="true" t="shared" si="4" ref="H14:Q14">H13/H10*100</f>
        <v>72.08493511564139</v>
      </c>
      <c r="I14" s="1149">
        <f t="shared" si="4"/>
        <v>77.99147823484472</v>
      </c>
      <c r="J14" s="1149">
        <f t="shared" si="4"/>
        <v>39.631212556707766</v>
      </c>
      <c r="K14" s="1149">
        <f t="shared" si="4"/>
        <v>41.46813489293624</v>
      </c>
      <c r="L14" s="1149">
        <f t="shared" si="4"/>
        <v>52.508650488477706</v>
      </c>
      <c r="M14" s="1149">
        <f t="shared" si="4"/>
        <v>47.08877135083324</v>
      </c>
      <c r="N14" s="1149">
        <f t="shared" si="4"/>
        <v>85.86512714483868</v>
      </c>
      <c r="O14" s="1149">
        <f t="shared" si="4"/>
        <v>40.23119285959188</v>
      </c>
      <c r="P14" s="1149">
        <f t="shared" si="4"/>
        <v>53.33658797410236</v>
      </c>
      <c r="Q14" s="1149">
        <f t="shared" si="4"/>
        <v>72.13027971877405</v>
      </c>
      <c r="R14" s="1149">
        <f>F14/D14*100</f>
        <v>102.77538684565432</v>
      </c>
      <c r="S14" s="1149">
        <f>G14/F14*100</f>
        <v>98.8374784374758</v>
      </c>
      <c r="T14" s="360">
        <f>F16+F20</f>
        <v>28903.82</v>
      </c>
    </row>
    <row r="15" spans="1:21" s="359" customFormat="1" ht="17.25" customHeight="1">
      <c r="A15" s="1127">
        <v>1</v>
      </c>
      <c r="B15" s="1128" t="s">
        <v>1074</v>
      </c>
      <c r="C15" s="1127"/>
      <c r="D15" s="1352"/>
      <c r="E15" s="1138"/>
      <c r="F15" s="1138"/>
      <c r="G15" s="1138"/>
      <c r="H15" s="1138"/>
      <c r="I15" s="1138"/>
      <c r="J15" s="1138"/>
      <c r="K15" s="1138"/>
      <c r="L15" s="1138"/>
      <c r="M15" s="1138"/>
      <c r="N15" s="1138"/>
      <c r="O15" s="1138"/>
      <c r="P15" s="1138"/>
      <c r="Q15" s="1138"/>
      <c r="R15" s="1138"/>
      <c r="S15" s="1138"/>
      <c r="T15" s="360" t="e">
        <f>F15/E15*100</f>
        <v>#DIV/0!</v>
      </c>
      <c r="U15" s="361"/>
    </row>
    <row r="16" spans="1:19" s="360" customFormat="1" ht="17.25" customHeight="1">
      <c r="A16" s="1136"/>
      <c r="B16" s="1140" t="s">
        <v>506</v>
      </c>
      <c r="C16" s="1136" t="s">
        <v>507</v>
      </c>
      <c r="D16" s="1352">
        <v>9329.6</v>
      </c>
      <c r="E16" s="1138">
        <v>9415.730000000001</v>
      </c>
      <c r="F16" s="1138">
        <v>9673.88</v>
      </c>
      <c r="G16" s="1138">
        <f>SUM(H16:Q16)</f>
        <v>9750.49</v>
      </c>
      <c r="H16" s="1138">
        <v>5069.78</v>
      </c>
      <c r="I16" s="1138">
        <v>1075</v>
      </c>
      <c r="J16" s="1138">
        <v>1050</v>
      </c>
      <c r="K16" s="1138">
        <v>110</v>
      </c>
      <c r="L16" s="1138">
        <v>172.46</v>
      </c>
      <c r="M16" s="1138">
        <v>560</v>
      </c>
      <c r="N16" s="1138">
        <v>472.25</v>
      </c>
      <c r="O16" s="1138">
        <v>735</v>
      </c>
      <c r="P16" s="1138">
        <v>301</v>
      </c>
      <c r="Q16" s="1138">
        <v>205</v>
      </c>
      <c r="R16" s="1138">
        <f>F16/D16*100</f>
        <v>103.69019036185902</v>
      </c>
      <c r="S16" s="1138">
        <f>G16/F16*100</f>
        <v>100.79192630051233</v>
      </c>
    </row>
    <row r="17" spans="1:19" s="360" customFormat="1" ht="17.25" customHeight="1">
      <c r="A17" s="1136"/>
      <c r="B17" s="1140" t="s">
        <v>51</v>
      </c>
      <c r="C17" s="1136" t="s">
        <v>52</v>
      </c>
      <c r="D17" s="1352">
        <f>D18*10/D16</f>
        <v>59.29557537300634</v>
      </c>
      <c r="E17" s="1138">
        <v>59.482240421082594</v>
      </c>
      <c r="F17" s="1138">
        <f>F18/F16*10</f>
        <v>58.95514519510269</v>
      </c>
      <c r="G17" s="1138">
        <f>G18/G16*10</f>
        <v>59.43487342687395</v>
      </c>
      <c r="H17" s="1138">
        <v>61.5504710263562</v>
      </c>
      <c r="I17" s="1138">
        <v>62.3</v>
      </c>
      <c r="J17" s="1138">
        <v>59.5114285714286</v>
      </c>
      <c r="K17" s="1138">
        <v>53.5090909090909</v>
      </c>
      <c r="L17" s="1138">
        <v>52.1023541690827</v>
      </c>
      <c r="M17" s="1138">
        <v>59.5</v>
      </c>
      <c r="N17" s="1138">
        <v>62.5785706723134</v>
      </c>
      <c r="O17" s="1138">
        <v>45.8045850340136</v>
      </c>
      <c r="P17" s="1138">
        <v>49.5</v>
      </c>
      <c r="Q17" s="1138">
        <v>57.083512195122</v>
      </c>
      <c r="R17" s="1138">
        <f>F17/D17*100</f>
        <v>99.42587591778621</v>
      </c>
      <c r="S17" s="1138">
        <f>G17/F17*100</f>
        <v>100.81371732727258</v>
      </c>
    </row>
    <row r="18" spans="1:19" s="360" customFormat="1" ht="17.25" customHeight="1">
      <c r="A18" s="1136"/>
      <c r="B18" s="1140" t="s">
        <v>1075</v>
      </c>
      <c r="C18" s="1136" t="s">
        <v>446</v>
      </c>
      <c r="D18" s="1352">
        <v>55320.4</v>
      </c>
      <c r="E18" s="1138">
        <v>56006.87156000001</v>
      </c>
      <c r="F18" s="1351">
        <v>57032.5</v>
      </c>
      <c r="G18" s="1138">
        <f>SUM(H18:Q18)</f>
        <v>57951.91390000002</v>
      </c>
      <c r="H18" s="1138">
        <f>H17*H16/10</f>
        <v>31204.73470000001</v>
      </c>
      <c r="I18" s="1138">
        <f aca="true" t="shared" si="5" ref="I18:Q18">I17*I16/10</f>
        <v>6697.25</v>
      </c>
      <c r="J18" s="1138">
        <f t="shared" si="5"/>
        <v>6248.7000000000035</v>
      </c>
      <c r="K18" s="1138">
        <f t="shared" si="5"/>
        <v>588.5999999999999</v>
      </c>
      <c r="L18" s="1138">
        <f t="shared" si="5"/>
        <v>898.5572000000004</v>
      </c>
      <c r="M18" s="1138">
        <f t="shared" si="5"/>
        <v>3332</v>
      </c>
      <c r="N18" s="1138">
        <f t="shared" si="5"/>
        <v>2955.273</v>
      </c>
      <c r="O18" s="1138">
        <f t="shared" si="5"/>
        <v>3366.6369999999997</v>
      </c>
      <c r="P18" s="1138">
        <f t="shared" si="5"/>
        <v>1489.95</v>
      </c>
      <c r="Q18" s="1138">
        <f t="shared" si="5"/>
        <v>1170.212000000001</v>
      </c>
      <c r="R18" s="1351">
        <f>F18/D18*100</f>
        <v>103.09488000809827</v>
      </c>
      <c r="S18" s="1138">
        <f>G18/F18*100</f>
        <v>101.6120876693114</v>
      </c>
    </row>
    <row r="19" spans="1:20" s="359" customFormat="1" ht="17.25" customHeight="1">
      <c r="A19" s="1127">
        <v>2</v>
      </c>
      <c r="B19" s="1128" t="s">
        <v>1076</v>
      </c>
      <c r="C19" s="1127"/>
      <c r="D19" s="1352"/>
      <c r="E19" s="1138"/>
      <c r="F19" s="1351"/>
      <c r="G19" s="1138"/>
      <c r="H19" s="1138"/>
      <c r="I19" s="1138"/>
      <c r="J19" s="1138"/>
      <c r="K19" s="1138"/>
      <c r="L19" s="1138"/>
      <c r="M19" s="1138"/>
      <c r="N19" s="1138"/>
      <c r="O19" s="1138"/>
      <c r="P19" s="1138"/>
      <c r="Q19" s="1138"/>
      <c r="R19" s="1351"/>
      <c r="S19" s="1138"/>
      <c r="T19" s="360"/>
    </row>
    <row r="20" spans="1:19" s="360" customFormat="1" ht="17.25" customHeight="1">
      <c r="A20" s="1136"/>
      <c r="B20" s="1140" t="s">
        <v>506</v>
      </c>
      <c r="C20" s="1136" t="s">
        <v>507</v>
      </c>
      <c r="D20" s="1352">
        <v>18726.7</v>
      </c>
      <c r="E20" s="1138">
        <v>18756.032</v>
      </c>
      <c r="F20" s="1351">
        <v>19229.94</v>
      </c>
      <c r="G20" s="1138">
        <f>SUM(H20:Q20)</f>
        <v>19378.352000000003</v>
      </c>
      <c r="H20" s="1138">
        <v>6389.66</v>
      </c>
      <c r="I20" s="1138">
        <v>1450</v>
      </c>
      <c r="J20" s="1138">
        <v>1740</v>
      </c>
      <c r="K20" s="1138">
        <v>1115.28</v>
      </c>
      <c r="L20" s="1138">
        <v>2023</v>
      </c>
      <c r="M20" s="1138">
        <v>2033.5</v>
      </c>
      <c r="N20" s="1138">
        <v>500.012</v>
      </c>
      <c r="O20" s="1138">
        <v>2350</v>
      </c>
      <c r="P20" s="1138">
        <v>1585</v>
      </c>
      <c r="Q20" s="1138">
        <v>191.9</v>
      </c>
      <c r="R20" s="1351">
        <f>F20/D20*100</f>
        <v>102.68728606748651</v>
      </c>
      <c r="S20" s="1138">
        <f>G20/F20*100</f>
        <v>100.77177567896729</v>
      </c>
    </row>
    <row r="21" spans="1:19" s="392" customFormat="1" ht="17.25" customHeight="1">
      <c r="A21" s="1136"/>
      <c r="B21" s="1140" t="s">
        <v>51</v>
      </c>
      <c r="C21" s="1136" t="s">
        <v>52</v>
      </c>
      <c r="D21" s="1352">
        <f>D22*10/D20</f>
        <v>51.076484377920295</v>
      </c>
      <c r="E21" s="1138">
        <v>51.143990157406435</v>
      </c>
      <c r="F21" s="1351">
        <v>51.14</v>
      </c>
      <c r="G21" s="1138">
        <f>G22/G20*10</f>
        <v>51.00390553334981</v>
      </c>
      <c r="H21" s="1138">
        <v>58.7951735773109</v>
      </c>
      <c r="I21" s="1138">
        <v>53.52</v>
      </c>
      <c r="J21" s="1138">
        <v>49.5000448275862</v>
      </c>
      <c r="K21" s="1138">
        <v>52.7744960906678</v>
      </c>
      <c r="L21" s="1138">
        <v>47</v>
      </c>
      <c r="M21" s="1138">
        <v>42.4667223998033</v>
      </c>
      <c r="N21" s="1138">
        <v>61</v>
      </c>
      <c r="O21" s="1138">
        <v>38.7005489361702</v>
      </c>
      <c r="P21" s="1138">
        <v>48.5</v>
      </c>
      <c r="Q21" s="1138">
        <v>53.8897655028661</v>
      </c>
      <c r="R21" s="1351">
        <f>F21/D21*100</f>
        <v>100.12435394262798</v>
      </c>
      <c r="S21" s="1138">
        <f>G21/F21*100</f>
        <v>99.73387863384788</v>
      </c>
    </row>
    <row r="22" spans="1:19" s="360" customFormat="1" ht="17.25" customHeight="1">
      <c r="A22" s="1136"/>
      <c r="B22" s="1140" t="s">
        <v>1075</v>
      </c>
      <c r="C22" s="1136" t="s">
        <v>446</v>
      </c>
      <c r="D22" s="1352">
        <v>95649.4</v>
      </c>
      <c r="E22" s="1138">
        <v>95925.8316</v>
      </c>
      <c r="F22" s="1351">
        <v>99824</v>
      </c>
      <c r="G22" s="1138">
        <f>SUM(H22:Q22)</f>
        <v>98837.16348000005</v>
      </c>
      <c r="H22" s="1138">
        <f>H21*H20/10</f>
        <v>37568.11688000003</v>
      </c>
      <c r="I22" s="1138">
        <f aca="true" t="shared" si="6" ref="I22:Q22">I21*I20/10</f>
        <v>7760.4</v>
      </c>
      <c r="J22" s="1138">
        <f t="shared" si="6"/>
        <v>8613.0078</v>
      </c>
      <c r="K22" s="1138">
        <f t="shared" si="6"/>
        <v>5885.833999999999</v>
      </c>
      <c r="L22" s="1138">
        <f t="shared" si="6"/>
        <v>9508.1</v>
      </c>
      <c r="M22" s="1138">
        <f t="shared" si="6"/>
        <v>8635.608000000002</v>
      </c>
      <c r="N22" s="1138">
        <f t="shared" si="6"/>
        <v>3050.0732</v>
      </c>
      <c r="O22" s="1138">
        <f t="shared" si="6"/>
        <v>9094.628999999997</v>
      </c>
      <c r="P22" s="1138">
        <f t="shared" si="6"/>
        <v>7687.25</v>
      </c>
      <c r="Q22" s="1138">
        <f t="shared" si="6"/>
        <v>1034.1446000000005</v>
      </c>
      <c r="R22" s="1351">
        <f>F22/D22*100</f>
        <v>104.3644811154069</v>
      </c>
      <c r="S22" s="1138">
        <f>G22/F22*100</f>
        <v>99.01142358551056</v>
      </c>
    </row>
    <row r="23" spans="1:20" s="359" customFormat="1" ht="17.25" customHeight="1">
      <c r="A23" s="1127">
        <v>3</v>
      </c>
      <c r="B23" s="1128" t="s">
        <v>1077</v>
      </c>
      <c r="C23" s="1127"/>
      <c r="D23" s="1352"/>
      <c r="E23" s="1138"/>
      <c r="F23" s="1351"/>
      <c r="G23" s="1138"/>
      <c r="H23" s="1138"/>
      <c r="I23" s="1138"/>
      <c r="J23" s="1138"/>
      <c r="K23" s="1138"/>
      <c r="L23" s="1138"/>
      <c r="M23" s="1138"/>
      <c r="N23" s="1138"/>
      <c r="O23" s="1138"/>
      <c r="P23" s="1138"/>
      <c r="Q23" s="1138"/>
      <c r="R23" s="1351"/>
      <c r="S23" s="1138"/>
      <c r="T23" s="360"/>
    </row>
    <row r="24" spans="1:21" s="360" customFormat="1" ht="17.25" customHeight="1">
      <c r="A24" s="1136"/>
      <c r="B24" s="1140" t="s">
        <v>506</v>
      </c>
      <c r="C24" s="1136" t="s">
        <v>507</v>
      </c>
      <c r="D24" s="1352">
        <v>23247</v>
      </c>
      <c r="E24" s="1138">
        <v>23022.7</v>
      </c>
      <c r="F24" s="1351">
        <v>22906.1</v>
      </c>
      <c r="G24" s="1138">
        <f>SUM(H24:Q24)</f>
        <v>23020.719999999998</v>
      </c>
      <c r="H24" s="1138">
        <v>2271.86</v>
      </c>
      <c r="I24" s="1138">
        <v>812.4</v>
      </c>
      <c r="J24" s="1138">
        <v>3190</v>
      </c>
      <c r="K24" s="1138">
        <v>3618</v>
      </c>
      <c r="L24" s="1138">
        <v>4548.86</v>
      </c>
      <c r="M24" s="1138">
        <v>1876</v>
      </c>
      <c r="N24" s="1138">
        <v>42.4</v>
      </c>
      <c r="O24" s="1138">
        <v>4990</v>
      </c>
      <c r="P24" s="1138">
        <v>1600</v>
      </c>
      <c r="Q24" s="1138">
        <v>71.2</v>
      </c>
      <c r="R24" s="1351">
        <f>F24/D24*100</f>
        <v>98.53357422463112</v>
      </c>
      <c r="S24" s="1138">
        <f>G24/F24*100</f>
        <v>100.50039072561457</v>
      </c>
      <c r="T24" s="360">
        <f>F24/E24*100</f>
        <v>99.4935433289753</v>
      </c>
      <c r="U24" s="360">
        <f>D24-F24</f>
        <v>340.90000000000146</v>
      </c>
    </row>
    <row r="25" spans="1:19" s="360" customFormat="1" ht="17.25" customHeight="1">
      <c r="A25" s="1136"/>
      <c r="B25" s="1140" t="s">
        <v>51</v>
      </c>
      <c r="C25" s="1136" t="s">
        <v>52</v>
      </c>
      <c r="D25" s="1352">
        <v>14.79</v>
      </c>
      <c r="E25" s="1138">
        <v>14.665764658358924</v>
      </c>
      <c r="F25" s="1354">
        <f>F26/F24*10</f>
        <v>14.180633106465091</v>
      </c>
      <c r="G25" s="1138">
        <f>G26/G24*10</f>
        <v>14.71666151189017</v>
      </c>
      <c r="H25" s="1138">
        <v>15.4073842578328</v>
      </c>
      <c r="I25" s="1138">
        <v>14</v>
      </c>
      <c r="J25" s="1138">
        <v>14.0023510971787</v>
      </c>
      <c r="K25" s="1138">
        <v>17</v>
      </c>
      <c r="L25" s="1138">
        <v>14.3937390906733</v>
      </c>
      <c r="M25" s="1138">
        <v>14.92</v>
      </c>
      <c r="N25" s="1138">
        <v>19</v>
      </c>
      <c r="O25" s="1138">
        <v>14.4</v>
      </c>
      <c r="P25" s="1138">
        <v>12</v>
      </c>
      <c r="Q25" s="1138">
        <v>12.7949438202247</v>
      </c>
      <c r="R25" s="1354">
        <f>F25/D25*100</f>
        <v>95.87987225466593</v>
      </c>
      <c r="S25" s="1138">
        <f>G25/F25*100</f>
        <v>103.78000334259193</v>
      </c>
    </row>
    <row r="26" spans="1:19" s="360" customFormat="1" ht="17.25" customHeight="1">
      <c r="A26" s="1136"/>
      <c r="B26" s="1140" t="s">
        <v>1075</v>
      </c>
      <c r="C26" s="1136" t="s">
        <v>446</v>
      </c>
      <c r="D26" s="1352">
        <v>34376</v>
      </c>
      <c r="E26" s="1138">
        <v>33764.55</v>
      </c>
      <c r="F26" s="1351">
        <v>32482.3</v>
      </c>
      <c r="G26" s="1138">
        <f>SUM(H26:Q26)</f>
        <v>33878.814400000025</v>
      </c>
      <c r="H26" s="1138">
        <f aca="true" t="shared" si="7" ref="H26:P26">H25*H24/10</f>
        <v>3500.342000000003</v>
      </c>
      <c r="I26" s="1138">
        <f t="shared" si="7"/>
        <v>1137.3600000000001</v>
      </c>
      <c r="J26" s="1138">
        <f t="shared" si="7"/>
        <v>4466.7500000000055</v>
      </c>
      <c r="K26" s="1138">
        <f t="shared" si="7"/>
        <v>6150.6</v>
      </c>
      <c r="L26" s="1138">
        <f t="shared" si="7"/>
        <v>6547.510400000015</v>
      </c>
      <c r="M26" s="1138">
        <f t="shared" si="7"/>
        <v>2798.9919999999997</v>
      </c>
      <c r="N26" s="1138">
        <f t="shared" si="7"/>
        <v>80.56</v>
      </c>
      <c r="O26" s="1138">
        <f t="shared" si="7"/>
        <v>7185.6</v>
      </c>
      <c r="P26" s="1138">
        <f t="shared" si="7"/>
        <v>1920</v>
      </c>
      <c r="Q26" s="1138">
        <f>Q25*Q24/10</f>
        <v>91.09999999999988</v>
      </c>
      <c r="R26" s="1351">
        <f>F26/D26*100</f>
        <v>94.49121480102397</v>
      </c>
      <c r="S26" s="1138">
        <f>G26/F26*100</f>
        <v>104.29930885436076</v>
      </c>
    </row>
    <row r="27" spans="1:20" s="359" customFormat="1" ht="17.25" customHeight="1">
      <c r="A27" s="1127">
        <v>4</v>
      </c>
      <c r="B27" s="1128" t="s">
        <v>1078</v>
      </c>
      <c r="C27" s="1127"/>
      <c r="D27" s="1352"/>
      <c r="E27" s="1138"/>
      <c r="F27" s="1138"/>
      <c r="G27" s="1138"/>
      <c r="H27" s="1138"/>
      <c r="I27" s="1138"/>
      <c r="J27" s="1138"/>
      <c r="K27" s="1138"/>
      <c r="L27" s="1138"/>
      <c r="M27" s="1138"/>
      <c r="N27" s="1138"/>
      <c r="O27" s="1138"/>
      <c r="P27" s="1138"/>
      <c r="Q27" s="1138"/>
      <c r="R27" s="1138"/>
      <c r="S27" s="1138"/>
      <c r="T27" s="360"/>
    </row>
    <row r="28" spans="1:19" s="360" customFormat="1" ht="17.25" customHeight="1">
      <c r="A28" s="1136"/>
      <c r="B28" s="1140" t="s">
        <v>506</v>
      </c>
      <c r="C28" s="1136" t="s">
        <v>507</v>
      </c>
      <c r="D28" s="1352">
        <v>29765.5</v>
      </c>
      <c r="E28" s="1138">
        <v>29374.03</v>
      </c>
      <c r="F28" s="1138">
        <v>28767.2</v>
      </c>
      <c r="G28" s="1138">
        <f>SUM(H28:Q28)</f>
        <v>28637.1</v>
      </c>
      <c r="H28" s="1138">
        <v>3995.92</v>
      </c>
      <c r="I28" s="1138">
        <v>896</v>
      </c>
      <c r="J28" s="1138">
        <v>6525</v>
      </c>
      <c r="K28" s="1138">
        <v>1660</v>
      </c>
      <c r="L28" s="1138">
        <v>1784.68</v>
      </c>
      <c r="M28" s="1138">
        <v>5250</v>
      </c>
      <c r="N28" s="1138">
        <v>284.3</v>
      </c>
      <c r="O28" s="1138">
        <v>4925</v>
      </c>
      <c r="P28" s="1138">
        <v>2980</v>
      </c>
      <c r="Q28" s="1138">
        <v>336.2</v>
      </c>
      <c r="R28" s="1138">
        <f>F28/D28*100</f>
        <v>96.6461171490484</v>
      </c>
      <c r="S28" s="1138">
        <f>G28/F28*100</f>
        <v>99.54774882505075</v>
      </c>
    </row>
    <row r="29" spans="1:19" s="360" customFormat="1" ht="17.25" customHeight="1">
      <c r="A29" s="1136"/>
      <c r="B29" s="1140" t="s">
        <v>51</v>
      </c>
      <c r="C29" s="1136" t="s">
        <v>52</v>
      </c>
      <c r="D29" s="1352">
        <v>26.63</v>
      </c>
      <c r="E29" s="1138">
        <v>26.939219099320045</v>
      </c>
      <c r="F29" s="1138">
        <f>F30/F28*10</f>
        <v>27.166849745543537</v>
      </c>
      <c r="G29" s="1138">
        <f>G30/G28*10</f>
        <v>27.884180197470023</v>
      </c>
      <c r="H29" s="1138">
        <v>57.8893234884582</v>
      </c>
      <c r="I29" s="1138">
        <v>32.84</v>
      </c>
      <c r="J29" s="1138">
        <v>27.8491187739464</v>
      </c>
      <c r="K29" s="1138">
        <v>18</v>
      </c>
      <c r="L29" s="1138">
        <v>16.0520149270457</v>
      </c>
      <c r="M29" s="1138">
        <v>20.2826535655178</v>
      </c>
      <c r="N29" s="1138">
        <v>31.9389025677102</v>
      </c>
      <c r="O29" s="1138">
        <v>22.9995411167513</v>
      </c>
      <c r="P29" s="1138">
        <v>20.5</v>
      </c>
      <c r="Q29" s="1138">
        <v>22.6240333135039</v>
      </c>
      <c r="R29" s="1138">
        <f>F29/D29*100</f>
        <v>102.01595848871024</v>
      </c>
      <c r="S29" s="1138">
        <f>G29/F29*100</f>
        <v>102.64046239680094</v>
      </c>
    </row>
    <row r="30" spans="1:19" s="360" customFormat="1" ht="17.25" customHeight="1">
      <c r="A30" s="1136"/>
      <c r="B30" s="1140" t="s">
        <v>1075</v>
      </c>
      <c r="C30" s="1136" t="s">
        <v>446</v>
      </c>
      <c r="D30" s="1352">
        <v>79251</v>
      </c>
      <c r="E30" s="1138">
        <v>79131.343</v>
      </c>
      <c r="F30" s="1138">
        <v>78151.42</v>
      </c>
      <c r="G30" s="1138">
        <f>SUM(H30:Q30)</f>
        <v>79852.20567329688</v>
      </c>
      <c r="H30" s="1138">
        <f>H29*H28/10</f>
        <v>23132.11055139999</v>
      </c>
      <c r="I30" s="1138">
        <f aca="true" t="shared" si="8" ref="I30:Q30">I29*I28/10</f>
        <v>2942.4640000000004</v>
      </c>
      <c r="J30" s="1138">
        <f t="shared" si="8"/>
        <v>18171.550000000025</v>
      </c>
      <c r="K30" s="1138">
        <f t="shared" si="8"/>
        <v>2988</v>
      </c>
      <c r="L30" s="1138">
        <f t="shared" si="8"/>
        <v>2864.7709999999925</v>
      </c>
      <c r="M30" s="1138">
        <f t="shared" si="8"/>
        <v>10648.393121896846</v>
      </c>
      <c r="N30" s="1138">
        <f t="shared" si="8"/>
        <v>908.023000000001</v>
      </c>
      <c r="O30" s="1138">
        <f t="shared" si="8"/>
        <v>11327.274000000016</v>
      </c>
      <c r="P30" s="1138">
        <f t="shared" si="8"/>
        <v>6109</v>
      </c>
      <c r="Q30" s="1138">
        <f t="shared" si="8"/>
        <v>760.6200000000011</v>
      </c>
      <c r="R30" s="1138">
        <f>F30/D30*100</f>
        <v>98.61253485760432</v>
      </c>
      <c r="S30" s="1138">
        <f>G30/F30*100</f>
        <v>102.17626969963807</v>
      </c>
    </row>
    <row r="31" spans="1:20" s="394" customFormat="1" ht="17.25" customHeight="1">
      <c r="A31" s="1127" t="s">
        <v>114</v>
      </c>
      <c r="B31" s="1128" t="s">
        <v>1114</v>
      </c>
      <c r="C31" s="1127"/>
      <c r="D31" s="1138"/>
      <c r="E31" s="1138"/>
      <c r="F31" s="1138"/>
      <c r="G31" s="1138"/>
      <c r="H31" s="1138"/>
      <c r="I31" s="1138"/>
      <c r="J31" s="1138"/>
      <c r="K31" s="1138"/>
      <c r="L31" s="1138"/>
      <c r="M31" s="1138"/>
      <c r="N31" s="1138"/>
      <c r="O31" s="1138"/>
      <c r="P31" s="1138"/>
      <c r="Q31" s="1138"/>
      <c r="R31" s="1138"/>
      <c r="S31" s="1138"/>
      <c r="T31" s="393"/>
    </row>
    <row r="32" spans="1:20" s="395" customFormat="1" ht="17.25" customHeight="1">
      <c r="A32" s="1142" t="s">
        <v>788</v>
      </c>
      <c r="B32" s="1143" t="s">
        <v>1079</v>
      </c>
      <c r="C32" s="1142"/>
      <c r="D32" s="1138"/>
      <c r="E32" s="1138"/>
      <c r="F32" s="1138"/>
      <c r="G32" s="1138"/>
      <c r="H32" s="1138"/>
      <c r="I32" s="1138"/>
      <c r="J32" s="1138"/>
      <c r="K32" s="1138"/>
      <c r="L32" s="1138"/>
      <c r="M32" s="1138"/>
      <c r="N32" s="1138"/>
      <c r="O32" s="1138"/>
      <c r="P32" s="1138"/>
      <c r="Q32" s="1138"/>
      <c r="R32" s="1138"/>
      <c r="S32" s="1138"/>
      <c r="T32" s="393"/>
    </row>
    <row r="33" spans="1:19" s="360" customFormat="1" ht="17.25" customHeight="1">
      <c r="A33" s="1136"/>
      <c r="B33" s="1137" t="s">
        <v>1080</v>
      </c>
      <c r="C33" s="1136" t="s">
        <v>507</v>
      </c>
      <c r="D33" s="1138">
        <v>596.89</v>
      </c>
      <c r="E33" s="1138">
        <v>596.89</v>
      </c>
      <c r="F33" s="1138">
        <v>596.89</v>
      </c>
      <c r="G33" s="1138">
        <f>SUM(H33:Q33)</f>
        <v>595.89</v>
      </c>
      <c r="H33" s="1138"/>
      <c r="I33" s="1138"/>
      <c r="J33" s="1138"/>
      <c r="K33" s="1138"/>
      <c r="L33" s="1138"/>
      <c r="M33" s="1138">
        <v>595.89</v>
      </c>
      <c r="N33" s="1138"/>
      <c r="O33" s="1138"/>
      <c r="P33" s="1138"/>
      <c r="Q33" s="1138"/>
      <c r="R33" s="1138">
        <f>F33/D33*100</f>
        <v>100</v>
      </c>
      <c r="S33" s="1138">
        <f>G33/F33*100</f>
        <v>99.83246494328938</v>
      </c>
    </row>
    <row r="34" spans="1:19" s="360" customFormat="1" ht="17.25" customHeight="1">
      <c r="A34" s="1136"/>
      <c r="B34" s="1137" t="s">
        <v>1081</v>
      </c>
      <c r="C34" s="1136" t="s">
        <v>507</v>
      </c>
      <c r="D34" s="1138">
        <v>2</v>
      </c>
      <c r="E34" s="1138"/>
      <c r="F34" s="1138"/>
      <c r="G34" s="1138">
        <f>SUM(H34:Q34)</f>
        <v>0</v>
      </c>
      <c r="H34" s="1138"/>
      <c r="I34" s="1138"/>
      <c r="J34" s="1138"/>
      <c r="K34" s="1138"/>
      <c r="L34" s="1138"/>
      <c r="M34" s="1138"/>
      <c r="N34" s="1138"/>
      <c r="O34" s="1138"/>
      <c r="P34" s="1138"/>
      <c r="Q34" s="1138"/>
      <c r="R34" s="1138">
        <f>F34/D34*100</f>
        <v>0</v>
      </c>
      <c r="S34" s="1138"/>
    </row>
    <row r="35" spans="1:19" s="393" customFormat="1" ht="17.25" customHeight="1">
      <c r="A35" s="1136"/>
      <c r="B35" s="1137" t="s">
        <v>1082</v>
      </c>
      <c r="C35" s="1136" t="s">
        <v>446</v>
      </c>
      <c r="D35" s="1138">
        <v>75.01</v>
      </c>
      <c r="E35" s="1138">
        <v>80</v>
      </c>
      <c r="F35" s="1138">
        <v>72.94</v>
      </c>
      <c r="G35" s="1351">
        <v>73</v>
      </c>
      <c r="H35" s="1138"/>
      <c r="I35" s="1138"/>
      <c r="J35" s="1138"/>
      <c r="K35" s="1138"/>
      <c r="L35" s="1138"/>
      <c r="M35" s="1351">
        <v>73</v>
      </c>
      <c r="N35" s="1138"/>
      <c r="O35" s="1138"/>
      <c r="P35" s="1138"/>
      <c r="Q35" s="1138"/>
      <c r="R35" s="1138">
        <f>F35/D35*100</f>
        <v>97.24036795093987</v>
      </c>
      <c r="S35" s="1138">
        <f>G35/F35*100</f>
        <v>100.0822593912805</v>
      </c>
    </row>
    <row r="36" spans="1:21" s="362" customFormat="1" ht="17.25" customHeight="1">
      <c r="A36" s="1142" t="s">
        <v>509</v>
      </c>
      <c r="B36" s="1143" t="s">
        <v>1083</v>
      </c>
      <c r="C36" s="1142"/>
      <c r="D36" s="1138"/>
      <c r="E36" s="1138"/>
      <c r="F36" s="1138"/>
      <c r="G36" s="1138"/>
      <c r="H36" s="1138"/>
      <c r="I36" s="1138"/>
      <c r="J36" s="1138"/>
      <c r="K36" s="1138"/>
      <c r="L36" s="1138"/>
      <c r="M36" s="1138"/>
      <c r="N36" s="1138"/>
      <c r="O36" s="1138"/>
      <c r="P36" s="1138"/>
      <c r="Q36" s="1138"/>
      <c r="R36" s="1138"/>
      <c r="S36" s="1138"/>
      <c r="T36" s="360">
        <f>209.4-12.6-15-100.3</f>
        <v>81.50000000000001</v>
      </c>
      <c r="U36" s="1328">
        <v>3785.4</v>
      </c>
    </row>
    <row r="37" spans="1:19" s="360" customFormat="1" ht="17.25" customHeight="1">
      <c r="A37" s="1136"/>
      <c r="B37" s="1137" t="s">
        <v>1080</v>
      </c>
      <c r="C37" s="1136" t="s">
        <v>507</v>
      </c>
      <c r="D37" s="1351">
        <v>3994.8</v>
      </c>
      <c r="E37" s="1138">
        <v>4025.19</v>
      </c>
      <c r="F37" s="1351">
        <v>3785.4</v>
      </c>
      <c r="G37" s="1138">
        <f>SUM(H37:Q37)</f>
        <v>3640.06</v>
      </c>
      <c r="H37" s="1138"/>
      <c r="I37" s="1138">
        <v>3050</v>
      </c>
      <c r="J37" s="1138">
        <v>457.33</v>
      </c>
      <c r="K37" s="1138">
        <v>116.14</v>
      </c>
      <c r="L37" s="1138">
        <v>4.09</v>
      </c>
      <c r="M37" s="1138">
        <v>2.5</v>
      </c>
      <c r="N37" s="1138">
        <v>10</v>
      </c>
      <c r="O37" s="1138"/>
      <c r="P37" s="1138"/>
      <c r="Q37" s="1138"/>
      <c r="R37" s="1138">
        <f>F37/D37*100</f>
        <v>94.75818564133374</v>
      </c>
      <c r="S37" s="1138">
        <f>G37/F37*100</f>
        <v>96.16051143868548</v>
      </c>
    </row>
    <row r="38" spans="1:19" s="360" customFormat="1" ht="17.25" customHeight="1">
      <c r="A38" s="1136"/>
      <c r="B38" s="1137" t="s">
        <v>1081</v>
      </c>
      <c r="C38" s="1136" t="s">
        <v>507</v>
      </c>
      <c r="D38" s="1351">
        <v>75</v>
      </c>
      <c r="E38" s="1138">
        <v>30</v>
      </c>
      <c r="F38" s="1138"/>
      <c r="G38" s="1138"/>
      <c r="H38" s="1138"/>
      <c r="I38" s="1138"/>
      <c r="J38" s="1138"/>
      <c r="K38" s="1138"/>
      <c r="L38" s="1138"/>
      <c r="M38" s="1138"/>
      <c r="N38" s="1138"/>
      <c r="O38" s="1138"/>
      <c r="P38" s="1138"/>
      <c r="Q38" s="1138"/>
      <c r="R38" s="1138"/>
      <c r="S38" s="1138"/>
    </row>
    <row r="39" spans="1:19" s="360" customFormat="1" ht="17.25" customHeight="1">
      <c r="A39" s="1136"/>
      <c r="B39" s="1137" t="s">
        <v>434</v>
      </c>
      <c r="C39" s="1136" t="s">
        <v>446</v>
      </c>
      <c r="D39" s="1138">
        <v>3272.89</v>
      </c>
      <c r="E39" s="1138">
        <v>6921.900000000001</v>
      </c>
      <c r="F39" s="1138">
        <v>4720.1</v>
      </c>
      <c r="G39" s="1138">
        <f>SUM(H39:Q39)</f>
        <v>6130.8255</v>
      </c>
      <c r="H39" s="1138"/>
      <c r="I39" s="1138">
        <f>6410.03*0.85</f>
        <v>5448.5255</v>
      </c>
      <c r="J39" s="1138">
        <v>610</v>
      </c>
      <c r="K39" s="1138">
        <v>50</v>
      </c>
      <c r="L39" s="1138">
        <v>0.3</v>
      </c>
      <c r="M39" s="1138"/>
      <c r="N39" s="1138">
        <v>22</v>
      </c>
      <c r="O39" s="1138"/>
      <c r="P39" s="1138"/>
      <c r="Q39" s="1138"/>
      <c r="R39" s="1138">
        <f>F39/D39*100</f>
        <v>144.2181069330164</v>
      </c>
      <c r="S39" s="1138">
        <f>G39/F39*100</f>
        <v>129.8876189063791</v>
      </c>
    </row>
    <row r="40" spans="1:20" s="395" customFormat="1" ht="17.25" customHeight="1">
      <c r="A40" s="1142" t="s">
        <v>510</v>
      </c>
      <c r="B40" s="1143" t="s">
        <v>1084</v>
      </c>
      <c r="C40" s="1142"/>
      <c r="D40" s="1138"/>
      <c r="E40" s="1138"/>
      <c r="F40" s="1138"/>
      <c r="G40" s="1138"/>
      <c r="H40" s="1138"/>
      <c r="I40" s="1138"/>
      <c r="J40" s="1138"/>
      <c r="K40" s="1138"/>
      <c r="L40" s="1138"/>
      <c r="M40" s="1138"/>
      <c r="N40" s="1138"/>
      <c r="O40" s="1138"/>
      <c r="P40" s="1138"/>
      <c r="Q40" s="1138"/>
      <c r="R40" s="1138"/>
      <c r="S40" s="1138"/>
      <c r="T40" s="393"/>
    </row>
    <row r="41" spans="1:21" s="393" customFormat="1" ht="17.25" customHeight="1">
      <c r="A41" s="1136"/>
      <c r="B41" s="1137" t="s">
        <v>1115</v>
      </c>
      <c r="C41" s="1136" t="s">
        <v>507</v>
      </c>
      <c r="D41" s="1351">
        <v>5126.6</v>
      </c>
      <c r="E41" s="1351">
        <v>5126.6</v>
      </c>
      <c r="F41" s="1138">
        <v>5131.4</v>
      </c>
      <c r="G41" s="1138">
        <f>SUM(H41:P41)</f>
        <v>5131.4</v>
      </c>
      <c r="H41" s="1138">
        <v>1038.6</v>
      </c>
      <c r="I41" s="1138">
        <v>212</v>
      </c>
      <c r="J41" s="1138">
        <v>1320.3</v>
      </c>
      <c r="K41" s="1138">
        <v>1202.6</v>
      </c>
      <c r="L41" s="1138"/>
      <c r="M41" s="1138"/>
      <c r="N41" s="1138">
        <v>90.2</v>
      </c>
      <c r="O41" s="1138"/>
      <c r="P41" s="1138">
        <v>1267.7</v>
      </c>
      <c r="Q41" s="1138"/>
      <c r="R41" s="1351">
        <f>F41/D41*100</f>
        <v>100.09362930597277</v>
      </c>
      <c r="S41" s="1138">
        <f>G41/E41*100</f>
        <v>100.09362930597277</v>
      </c>
      <c r="T41" s="396"/>
      <c r="U41" s="393">
        <f>F43+F44+F45</f>
        <v>530778</v>
      </c>
    </row>
    <row r="42" spans="1:22" s="359" customFormat="1" ht="17.25" customHeight="1">
      <c r="A42" s="1127" t="s">
        <v>118</v>
      </c>
      <c r="B42" s="1128" t="s">
        <v>511</v>
      </c>
      <c r="C42" s="1127"/>
      <c r="D42" s="1138"/>
      <c r="E42" s="1138"/>
      <c r="F42" s="1138"/>
      <c r="G42" s="1138"/>
      <c r="H42" s="1138"/>
      <c r="I42" s="1138"/>
      <c r="J42" s="1138"/>
      <c r="K42" s="1138"/>
      <c r="L42" s="1138"/>
      <c r="M42" s="1138"/>
      <c r="N42" s="1138"/>
      <c r="O42" s="1138"/>
      <c r="P42" s="1138"/>
      <c r="Q42" s="1138"/>
      <c r="R42" s="1138"/>
      <c r="S42" s="1138"/>
      <c r="T42" s="1318"/>
      <c r="V42" s="361">
        <f>V43/U43</f>
        <v>1.0456838829039636</v>
      </c>
    </row>
    <row r="43" spans="1:25" s="360" customFormat="1" ht="17.25" customHeight="1">
      <c r="A43" s="1136" t="s">
        <v>788</v>
      </c>
      <c r="B43" s="1137" t="s">
        <v>1085</v>
      </c>
      <c r="C43" s="1136" t="s">
        <v>512</v>
      </c>
      <c r="D43" s="1355">
        <v>129154</v>
      </c>
      <c r="E43" s="1139">
        <v>130754</v>
      </c>
      <c r="F43" s="1355">
        <v>133735</v>
      </c>
      <c r="G43" s="1355">
        <f>SUM(H43:Q43)</f>
        <v>135611</v>
      </c>
      <c r="H43" s="1355">
        <v>27412</v>
      </c>
      <c r="I43" s="1355">
        <v>7892</v>
      </c>
      <c r="J43" s="1355">
        <v>23118</v>
      </c>
      <c r="K43" s="1355">
        <v>9787</v>
      </c>
      <c r="L43" s="1355">
        <v>22521</v>
      </c>
      <c r="M43" s="1355">
        <v>13676</v>
      </c>
      <c r="N43" s="1355">
        <v>1033</v>
      </c>
      <c r="O43" s="1355">
        <v>14545</v>
      </c>
      <c r="P43" s="1355">
        <v>14069</v>
      </c>
      <c r="Q43" s="1355">
        <v>1558</v>
      </c>
      <c r="R43" s="1351">
        <f>F43/D43%</f>
        <v>103.54692847298574</v>
      </c>
      <c r="S43" s="1138">
        <f>G43/F43%</f>
        <v>101.40277414289454</v>
      </c>
      <c r="T43" s="360">
        <f>F43/D43*100</f>
        <v>103.54692847298574</v>
      </c>
      <c r="U43" s="360">
        <f>F43+F44+F45</f>
        <v>530778</v>
      </c>
      <c r="V43" s="360">
        <f>G43+G44+G45</f>
        <v>555026</v>
      </c>
      <c r="W43" s="360">
        <f>E43+E44+E45</f>
        <v>606798</v>
      </c>
      <c r="X43" s="363">
        <f>F43/E43*100</f>
        <v>102.27985377120395</v>
      </c>
      <c r="Y43" s="360">
        <f>100-X43</f>
        <v>-2.279853771203946</v>
      </c>
    </row>
    <row r="44" spans="1:24" s="360" customFormat="1" ht="17.25" customHeight="1">
      <c r="A44" s="1136" t="s">
        <v>791</v>
      </c>
      <c r="B44" s="1137" t="s">
        <v>1086</v>
      </c>
      <c r="C44" s="1136" t="s">
        <v>512</v>
      </c>
      <c r="D44" s="1355">
        <v>68412</v>
      </c>
      <c r="E44" s="1139">
        <v>71337</v>
      </c>
      <c r="F44" s="1355">
        <v>73650</v>
      </c>
      <c r="G44" s="1355">
        <f aca="true" t="shared" si="9" ref="G44:G51">SUM(H44:Q44)</f>
        <v>76618</v>
      </c>
      <c r="H44" s="1355">
        <v>16198</v>
      </c>
      <c r="I44" s="1355">
        <v>8988</v>
      </c>
      <c r="J44" s="1355">
        <v>9826</v>
      </c>
      <c r="K44" s="1355">
        <v>5030</v>
      </c>
      <c r="L44" s="1355">
        <v>5298</v>
      </c>
      <c r="M44" s="1355">
        <v>2894</v>
      </c>
      <c r="N44" s="1355">
        <v>352</v>
      </c>
      <c r="O44" s="1355">
        <v>24582</v>
      </c>
      <c r="P44" s="1355">
        <v>3077</v>
      </c>
      <c r="Q44" s="1355">
        <v>373</v>
      </c>
      <c r="R44" s="1351">
        <f aca="true" t="shared" si="10" ref="R44:R51">F44/D44%</f>
        <v>107.65655148219611</v>
      </c>
      <c r="S44" s="1138">
        <f aca="true" t="shared" si="11" ref="S44:S58">G44/F44%</f>
        <v>104.02987101154108</v>
      </c>
      <c r="T44" s="360">
        <f>F44/D44*100</f>
        <v>107.65655148219611</v>
      </c>
      <c r="X44" s="363">
        <f>F44/E44*100</f>
        <v>103.24235670129104</v>
      </c>
    </row>
    <row r="45" spans="1:24" s="360" customFormat="1" ht="17.25" customHeight="1">
      <c r="A45" s="1136" t="s">
        <v>794</v>
      </c>
      <c r="B45" s="1137" t="s">
        <v>1347</v>
      </c>
      <c r="C45" s="1136" t="s">
        <v>512</v>
      </c>
      <c r="D45" s="1355">
        <v>402215</v>
      </c>
      <c r="E45" s="1139">
        <v>404707</v>
      </c>
      <c r="F45" s="1355">
        <v>323393</v>
      </c>
      <c r="G45" s="1355">
        <f t="shared" si="9"/>
        <v>342797</v>
      </c>
      <c r="H45" s="1355">
        <v>69806</v>
      </c>
      <c r="I45" s="1355">
        <v>27481</v>
      </c>
      <c r="J45" s="1355">
        <v>65441</v>
      </c>
      <c r="K45" s="1355">
        <v>14118</v>
      </c>
      <c r="L45" s="1355">
        <v>44014</v>
      </c>
      <c r="M45" s="1355">
        <v>49020</v>
      </c>
      <c r="N45" s="1355">
        <v>3519</v>
      </c>
      <c r="O45" s="1355">
        <v>30935</v>
      </c>
      <c r="P45" s="1355">
        <v>32406</v>
      </c>
      <c r="Q45" s="1355">
        <v>6057</v>
      </c>
      <c r="R45" s="1351">
        <f t="shared" si="10"/>
        <v>80.40301828623994</v>
      </c>
      <c r="S45" s="1138">
        <f t="shared" si="11"/>
        <v>106.00012987294097</v>
      </c>
      <c r="T45" s="360">
        <f>F45/D45*100</f>
        <v>80.40301828623994</v>
      </c>
      <c r="X45" s="363">
        <f>F45/E45*100</f>
        <v>79.90793339378858</v>
      </c>
    </row>
    <row r="46" spans="1:24" s="360" customFormat="1" ht="15" customHeight="1">
      <c r="A46" s="1136" t="s">
        <v>796</v>
      </c>
      <c r="B46" s="1137" t="s">
        <v>1087</v>
      </c>
      <c r="C46" s="1136" t="s">
        <v>512</v>
      </c>
      <c r="D46" s="1355">
        <v>4089150</v>
      </c>
      <c r="E46" s="1139">
        <v>4077179</v>
      </c>
      <c r="F46" s="1355">
        <v>4285820</v>
      </c>
      <c r="G46" s="1355">
        <f t="shared" si="9"/>
        <v>4462046</v>
      </c>
      <c r="H46" s="1355">
        <v>1989805</v>
      </c>
      <c r="I46" s="1355">
        <v>257802</v>
      </c>
      <c r="J46" s="1355">
        <v>952544</v>
      </c>
      <c r="K46" s="1355">
        <v>134540</v>
      </c>
      <c r="L46" s="1355">
        <v>180798</v>
      </c>
      <c r="M46" s="1355">
        <v>259648</v>
      </c>
      <c r="N46" s="1355">
        <v>230500</v>
      </c>
      <c r="O46" s="1355">
        <v>197901</v>
      </c>
      <c r="P46" s="1355">
        <v>190380</v>
      </c>
      <c r="Q46" s="1355">
        <v>68128</v>
      </c>
      <c r="R46" s="1351">
        <f t="shared" si="10"/>
        <v>104.8095569983982</v>
      </c>
      <c r="S46" s="1138">
        <f>G46/F46%</f>
        <v>104.1118385746485</v>
      </c>
      <c r="T46" s="360">
        <f>F46/D46*100</f>
        <v>104.80955699839821</v>
      </c>
      <c r="X46" s="363">
        <f>F46/E46*100</f>
        <v>105.11728820343673</v>
      </c>
    </row>
    <row r="47" spans="1:20" s="359" customFormat="1" ht="15" customHeight="1">
      <c r="A47" s="1127" t="s">
        <v>127</v>
      </c>
      <c r="B47" s="1128" t="s">
        <v>513</v>
      </c>
      <c r="C47" s="1127"/>
      <c r="D47" s="1138"/>
      <c r="E47" s="1138"/>
      <c r="F47" s="1351"/>
      <c r="G47" s="1138"/>
      <c r="H47" s="1138"/>
      <c r="I47" s="1138"/>
      <c r="J47" s="1138"/>
      <c r="K47" s="1138"/>
      <c r="L47" s="1138"/>
      <c r="M47" s="1138"/>
      <c r="N47" s="1138"/>
      <c r="O47" s="1138"/>
      <c r="P47" s="1138"/>
      <c r="Q47" s="1138"/>
      <c r="R47" s="1351"/>
      <c r="S47" s="1138"/>
      <c r="T47" s="360"/>
    </row>
    <row r="48" spans="1:21" s="365" customFormat="1" ht="15" customHeight="1">
      <c r="A48" s="1144">
        <v>1</v>
      </c>
      <c r="B48" s="1145" t="s">
        <v>514</v>
      </c>
      <c r="C48" s="1144" t="s">
        <v>507</v>
      </c>
      <c r="D48" s="1138">
        <v>2251.57</v>
      </c>
      <c r="E48" s="1138">
        <v>2314.7</v>
      </c>
      <c r="F48" s="1351">
        <v>2533.48</v>
      </c>
      <c r="G48" s="1138">
        <f t="shared" si="9"/>
        <v>2609.7</v>
      </c>
      <c r="H48" s="1138">
        <v>1515.95</v>
      </c>
      <c r="I48" s="1138">
        <v>146</v>
      </c>
      <c r="J48" s="1138">
        <v>295</v>
      </c>
      <c r="K48" s="1138">
        <v>144.9</v>
      </c>
      <c r="L48" s="1138">
        <v>136.44</v>
      </c>
      <c r="M48" s="1138">
        <v>70</v>
      </c>
      <c r="N48" s="1138">
        <v>85.95</v>
      </c>
      <c r="O48" s="1138">
        <v>157</v>
      </c>
      <c r="P48" s="1138">
        <v>34.5</v>
      </c>
      <c r="Q48" s="1138">
        <v>23.96</v>
      </c>
      <c r="R48" s="1351">
        <f>F48/D48%</f>
        <v>112.52059673916422</v>
      </c>
      <c r="S48" s="1138">
        <f t="shared" si="11"/>
        <v>103.00851003362962</v>
      </c>
      <c r="T48" s="360"/>
      <c r="U48" s="364"/>
    </row>
    <row r="49" spans="1:23" s="365" customFormat="1" ht="15" customHeight="1">
      <c r="A49" s="1144">
        <v>2</v>
      </c>
      <c r="B49" s="1145" t="s">
        <v>1088</v>
      </c>
      <c r="C49" s="1144" t="s">
        <v>446</v>
      </c>
      <c r="D49" s="1138">
        <f>D50+D51</f>
        <v>3061.9900000000002</v>
      </c>
      <c r="E49" s="1138">
        <f>E50+E51</f>
        <v>3281.4485000000004</v>
      </c>
      <c r="F49" s="1351">
        <f>F50+F51</f>
        <v>3566.2000000000003</v>
      </c>
      <c r="G49" s="1138">
        <f t="shared" si="9"/>
        <v>3780.199999999999</v>
      </c>
      <c r="H49" s="1138">
        <f aca="true" t="shared" si="12" ref="H49:Q49">H50+H51</f>
        <v>2075.2</v>
      </c>
      <c r="I49" s="1138">
        <f t="shared" si="12"/>
        <v>197</v>
      </c>
      <c r="J49" s="1138">
        <f t="shared" si="12"/>
        <v>398</v>
      </c>
      <c r="K49" s="1138">
        <f t="shared" si="12"/>
        <v>185.7</v>
      </c>
      <c r="L49" s="1138">
        <f t="shared" si="12"/>
        <v>173.1</v>
      </c>
      <c r="M49" s="1138">
        <f t="shared" si="12"/>
        <v>118.5</v>
      </c>
      <c r="N49" s="1138">
        <f t="shared" si="12"/>
        <v>246.2</v>
      </c>
      <c r="O49" s="1138">
        <f t="shared" si="12"/>
        <v>180.2</v>
      </c>
      <c r="P49" s="1138">
        <f t="shared" si="12"/>
        <v>51.7</v>
      </c>
      <c r="Q49" s="1138">
        <f t="shared" si="12"/>
        <v>154.6</v>
      </c>
      <c r="R49" s="1351">
        <f>F49/D49%</f>
        <v>116.46674221666302</v>
      </c>
      <c r="S49" s="1138">
        <f t="shared" si="11"/>
        <v>106.00078514945876</v>
      </c>
      <c r="T49" s="360"/>
      <c r="U49" s="366"/>
      <c r="W49" s="365">
        <f>G48/F48*100</f>
        <v>103.00851003362963</v>
      </c>
    </row>
    <row r="50" spans="1:21" s="365" customFormat="1" ht="15" customHeight="1">
      <c r="A50" s="1144" t="s">
        <v>508</v>
      </c>
      <c r="B50" s="1145" t="s">
        <v>79</v>
      </c>
      <c r="C50" s="1144" t="s">
        <v>446</v>
      </c>
      <c r="D50" s="1138">
        <v>2810.59</v>
      </c>
      <c r="E50" s="1138">
        <v>3022.9935000000005</v>
      </c>
      <c r="F50" s="1351">
        <v>3309.8</v>
      </c>
      <c r="G50" s="1138">
        <f t="shared" si="9"/>
        <v>3526.6999999999994</v>
      </c>
      <c r="H50" s="1138">
        <v>2016.2</v>
      </c>
      <c r="I50" s="1138">
        <v>189.8</v>
      </c>
      <c r="J50" s="1138">
        <v>383.5</v>
      </c>
      <c r="K50" s="1138">
        <v>178.2</v>
      </c>
      <c r="L50" s="1138">
        <v>166.4</v>
      </c>
      <c r="M50" s="1138">
        <v>87.5</v>
      </c>
      <c r="N50" s="1138">
        <v>245.2</v>
      </c>
      <c r="O50" s="1138">
        <v>172.7</v>
      </c>
      <c r="P50" s="1138">
        <v>44.1</v>
      </c>
      <c r="Q50" s="1138">
        <v>43.1</v>
      </c>
      <c r="R50" s="1351">
        <f t="shared" si="10"/>
        <v>117.76175109140786</v>
      </c>
      <c r="S50" s="1138">
        <f>G50/F50%</f>
        <v>106.55326605837209</v>
      </c>
      <c r="T50" s="360"/>
      <c r="U50" s="367"/>
    </row>
    <row r="51" spans="1:21" s="365" customFormat="1" ht="15" customHeight="1">
      <c r="A51" s="1144" t="s">
        <v>509</v>
      </c>
      <c r="B51" s="1145" t="s">
        <v>78</v>
      </c>
      <c r="C51" s="1144" t="s">
        <v>446</v>
      </c>
      <c r="D51" s="1138">
        <v>251.4</v>
      </c>
      <c r="E51" s="1138">
        <v>258.45500000000004</v>
      </c>
      <c r="F51" s="1351">
        <v>256.4</v>
      </c>
      <c r="G51" s="1138">
        <f t="shared" si="9"/>
        <v>253.5</v>
      </c>
      <c r="H51" s="1138">
        <v>59</v>
      </c>
      <c r="I51" s="1138">
        <v>7.2</v>
      </c>
      <c r="J51" s="1138">
        <v>14.5</v>
      </c>
      <c r="K51" s="1138">
        <v>7.5</v>
      </c>
      <c r="L51" s="1138">
        <v>6.7</v>
      </c>
      <c r="M51" s="1138">
        <v>31</v>
      </c>
      <c r="N51" s="1138">
        <v>1</v>
      </c>
      <c r="O51" s="1138">
        <v>7.5</v>
      </c>
      <c r="P51" s="1138">
        <v>7.6</v>
      </c>
      <c r="Q51" s="1138">
        <v>111.5</v>
      </c>
      <c r="R51" s="1351">
        <f t="shared" si="10"/>
        <v>101.98886237072392</v>
      </c>
      <c r="S51" s="1138">
        <f t="shared" si="11"/>
        <v>98.86895475819034</v>
      </c>
      <c r="T51" s="360"/>
      <c r="U51" s="367"/>
    </row>
    <row r="52" spans="1:20" s="359" customFormat="1" ht="15" customHeight="1">
      <c r="A52" s="1127" t="s">
        <v>88</v>
      </c>
      <c r="B52" s="1128" t="s">
        <v>60</v>
      </c>
      <c r="C52" s="1127"/>
      <c r="D52" s="1138"/>
      <c r="E52" s="1138"/>
      <c r="F52" s="1138"/>
      <c r="G52" s="1138"/>
      <c r="H52" s="1138"/>
      <c r="I52" s="1138"/>
      <c r="J52" s="1138"/>
      <c r="K52" s="1138"/>
      <c r="L52" s="1138"/>
      <c r="M52" s="1138"/>
      <c r="N52" s="1138"/>
      <c r="O52" s="1138"/>
      <c r="P52" s="1138"/>
      <c r="Q52" s="1138"/>
      <c r="R52" s="1138"/>
      <c r="S52" s="1138"/>
      <c r="T52" s="360"/>
    </row>
    <row r="53" spans="1:20" s="360" customFormat="1" ht="17.25" customHeight="1">
      <c r="A53" s="1136">
        <v>1</v>
      </c>
      <c r="B53" s="1137" t="s">
        <v>1089</v>
      </c>
      <c r="C53" s="1136" t="s">
        <v>507</v>
      </c>
      <c r="D53" s="1354">
        <v>1542</v>
      </c>
      <c r="E53" s="1138">
        <v>1016.4000000000001</v>
      </c>
      <c r="F53" s="1138">
        <f>SUM(F54:F56)</f>
        <v>349.90999999999997</v>
      </c>
      <c r="G53" s="1138">
        <f aca="true" t="shared" si="13" ref="G53:P53">SUM(G54:G56)</f>
        <v>130</v>
      </c>
      <c r="H53" s="1138">
        <f t="shared" si="13"/>
        <v>50</v>
      </c>
      <c r="I53" s="1138">
        <f t="shared" si="13"/>
        <v>30</v>
      </c>
      <c r="J53" s="1138">
        <f t="shared" si="13"/>
        <v>30</v>
      </c>
      <c r="K53" s="1138"/>
      <c r="L53" s="1138"/>
      <c r="M53" s="1138"/>
      <c r="N53" s="1138"/>
      <c r="O53" s="1138"/>
      <c r="P53" s="1138">
        <f t="shared" si="13"/>
        <v>20</v>
      </c>
      <c r="Q53" s="1138"/>
      <c r="R53" s="1138">
        <f>F53/D53*100</f>
        <v>22.69195849546044</v>
      </c>
      <c r="S53" s="1138">
        <f>G53/F53%</f>
        <v>37.152410619873685</v>
      </c>
      <c r="T53" s="360">
        <f>F53/E53*100</f>
        <v>34.42640692640692</v>
      </c>
    </row>
    <row r="54" spans="1:19" s="360" customFormat="1" ht="17.25" customHeight="1">
      <c r="A54" s="1136" t="s">
        <v>11</v>
      </c>
      <c r="B54" s="1137" t="s">
        <v>1090</v>
      </c>
      <c r="C54" s="1136" t="s">
        <v>507</v>
      </c>
      <c r="D54" s="1354">
        <v>133</v>
      </c>
      <c r="E54" s="1138">
        <v>135.4</v>
      </c>
      <c r="F54" s="1138"/>
      <c r="G54" s="1138">
        <f>SUM(H54:P54)</f>
        <v>50</v>
      </c>
      <c r="H54" s="1138">
        <v>30</v>
      </c>
      <c r="I54" s="1138"/>
      <c r="J54" s="1138"/>
      <c r="K54" s="1138"/>
      <c r="L54" s="1138"/>
      <c r="M54" s="1138"/>
      <c r="N54" s="1138"/>
      <c r="O54" s="1138"/>
      <c r="P54" s="1138">
        <v>20</v>
      </c>
      <c r="Q54" s="1138"/>
      <c r="R54" s="1138"/>
      <c r="S54" s="1138"/>
    </row>
    <row r="55" spans="1:22" s="360" customFormat="1" ht="17.25" customHeight="1">
      <c r="A55" s="1136" t="s">
        <v>11</v>
      </c>
      <c r="B55" s="1137" t="s">
        <v>1109</v>
      </c>
      <c r="C55" s="1136" t="s">
        <v>507</v>
      </c>
      <c r="D55" s="1354">
        <v>17</v>
      </c>
      <c r="E55" s="1138"/>
      <c r="F55" s="1138">
        <v>117.31</v>
      </c>
      <c r="G55" s="1138">
        <f>SUM(H55:P55)</f>
        <v>80</v>
      </c>
      <c r="H55" s="1138">
        <v>20</v>
      </c>
      <c r="I55" s="1138">
        <v>30</v>
      </c>
      <c r="J55" s="1138">
        <v>30</v>
      </c>
      <c r="K55" s="1138"/>
      <c r="L55" s="1138"/>
      <c r="M55" s="1138"/>
      <c r="N55" s="1138"/>
      <c r="O55" s="1138"/>
      <c r="P55" s="1138"/>
      <c r="Q55" s="1138"/>
      <c r="R55" s="1138">
        <f>F55/D55*100</f>
        <v>690.0588235294117</v>
      </c>
      <c r="S55" s="1138">
        <f t="shared" si="11"/>
        <v>68.19537976302105</v>
      </c>
      <c r="U55" s="368"/>
      <c r="V55" s="368"/>
    </row>
    <row r="56" spans="1:19" s="360" customFormat="1" ht="38.25" customHeight="1">
      <c r="A56" s="1136" t="s">
        <v>11</v>
      </c>
      <c r="B56" s="1146" t="s">
        <v>1091</v>
      </c>
      <c r="C56" s="1136" t="s">
        <v>507</v>
      </c>
      <c r="D56" s="1354">
        <v>1392</v>
      </c>
      <c r="E56" s="1138">
        <v>881</v>
      </c>
      <c r="F56" s="1138">
        <v>232.6</v>
      </c>
      <c r="G56" s="1138"/>
      <c r="H56" s="1138"/>
      <c r="I56" s="1138"/>
      <c r="J56" s="1138"/>
      <c r="K56" s="1138"/>
      <c r="L56" s="1138"/>
      <c r="M56" s="1138"/>
      <c r="N56" s="1138"/>
      <c r="O56" s="1138"/>
      <c r="P56" s="1138"/>
      <c r="Q56" s="1138"/>
      <c r="R56" s="1138">
        <f>F56/D56*100</f>
        <v>16.70977011494253</v>
      </c>
      <c r="S56" s="1138"/>
    </row>
    <row r="57" spans="1:19" s="360" customFormat="1" ht="15.75" customHeight="1">
      <c r="A57" s="1136">
        <v>2</v>
      </c>
      <c r="B57" s="1137" t="s">
        <v>1092</v>
      </c>
      <c r="C57" s="1136" t="s">
        <v>507</v>
      </c>
      <c r="D57" s="1354">
        <v>291969</v>
      </c>
      <c r="E57" s="1138">
        <v>286211</v>
      </c>
      <c r="F57" s="1138">
        <f>E57</f>
        <v>286211</v>
      </c>
      <c r="G57" s="1138">
        <f>SUM(H57:P57)</f>
        <v>300517.445</v>
      </c>
      <c r="H57" s="1138">
        <v>42578.5</v>
      </c>
      <c r="I57" s="1138">
        <v>18586.17</v>
      </c>
      <c r="J57" s="1138">
        <f>35442</f>
        <v>35442</v>
      </c>
      <c r="K57" s="1138">
        <v>70795.238</v>
      </c>
      <c r="L57" s="1138">
        <v>49966.064</v>
      </c>
      <c r="M57" s="1138">
        <v>22699.234</v>
      </c>
      <c r="N57" s="1138"/>
      <c r="O57" s="1138">
        <v>19327.559999999998</v>
      </c>
      <c r="P57" s="1138">
        <v>41122.679</v>
      </c>
      <c r="Q57" s="1138">
        <v>5244.277</v>
      </c>
      <c r="R57" s="1138">
        <f>F57/D57*100</f>
        <v>98.02787282211469</v>
      </c>
      <c r="S57" s="1138">
        <f t="shared" si="11"/>
        <v>104.998565743455</v>
      </c>
    </row>
    <row r="58" spans="1:19" s="360" customFormat="1" ht="15.75" customHeight="1">
      <c r="A58" s="1136">
        <v>3</v>
      </c>
      <c r="B58" s="1137" t="s">
        <v>1093</v>
      </c>
      <c r="C58" s="1136" t="s">
        <v>507</v>
      </c>
      <c r="D58" s="1354">
        <v>10789</v>
      </c>
      <c r="E58" s="1138">
        <v>18086</v>
      </c>
      <c r="F58" s="1138">
        <v>12232.169999999998</v>
      </c>
      <c r="G58" s="1138">
        <f>SUM(H58:P58)</f>
        <v>19622.98</v>
      </c>
      <c r="H58" s="1138">
        <v>714.8800000000001</v>
      </c>
      <c r="I58" s="1138">
        <v>1032.65</v>
      </c>
      <c r="J58" s="1138">
        <v>5540.259999999999</v>
      </c>
      <c r="K58" s="1138">
        <v>1000</v>
      </c>
      <c r="L58" s="1138">
        <v>5000</v>
      </c>
      <c r="M58" s="1138">
        <v>2350</v>
      </c>
      <c r="N58" s="1138"/>
      <c r="O58" s="1138">
        <v>2001.99</v>
      </c>
      <c r="P58" s="1138">
        <v>1983.2</v>
      </c>
      <c r="Q58" s="1138"/>
      <c r="R58" s="1138">
        <f>F58/D58*100</f>
        <v>113.37630920381869</v>
      </c>
      <c r="S58" s="1138">
        <f t="shared" si="11"/>
        <v>160.42108636488868</v>
      </c>
    </row>
    <row r="59" spans="1:20" ht="15.75" customHeight="1">
      <c r="A59" s="1136" t="s">
        <v>796</v>
      </c>
      <c r="B59" s="1137" t="s">
        <v>1094</v>
      </c>
      <c r="C59" s="1136" t="s">
        <v>19</v>
      </c>
      <c r="D59" s="1356">
        <v>39.75</v>
      </c>
      <c r="E59" s="1141">
        <v>40.31</v>
      </c>
      <c r="F59" s="1141">
        <v>42.25</v>
      </c>
      <c r="G59" s="1141">
        <v>42.5</v>
      </c>
      <c r="H59" s="1138"/>
      <c r="I59" s="1138"/>
      <c r="J59" s="1138"/>
      <c r="K59" s="1138"/>
      <c r="L59" s="1138"/>
      <c r="M59" s="1138"/>
      <c r="N59" s="1138"/>
      <c r="O59" s="1138"/>
      <c r="P59" s="1138"/>
      <c r="Q59" s="1138"/>
      <c r="R59" s="1138">
        <f>42.2*100/39.75</f>
        <v>106.16352201257861</v>
      </c>
      <c r="S59" s="1138">
        <f>42.5*100/42.25</f>
        <v>100.59171597633136</v>
      </c>
      <c r="T59" s="360"/>
    </row>
    <row r="60" spans="18:19" ht="12.75">
      <c r="R60" s="371"/>
      <c r="S60" s="371"/>
    </row>
    <row r="61" spans="18:19" ht="12.75">
      <c r="R61" s="371"/>
      <c r="S61" s="371"/>
    </row>
    <row r="62" spans="18:19" ht="12.75">
      <c r="R62" s="371"/>
      <c r="S62" s="371"/>
    </row>
  </sheetData>
  <sheetProtection/>
  <mergeCells count="11">
    <mergeCell ref="D5:D6"/>
    <mergeCell ref="E5:F5"/>
    <mergeCell ref="G5:Q5"/>
    <mergeCell ref="R5:S5"/>
    <mergeCell ref="T5:T6"/>
    <mergeCell ref="U5:U6"/>
    <mergeCell ref="A2:S2"/>
    <mergeCell ref="A3:S3"/>
    <mergeCell ref="A5:A6"/>
    <mergeCell ref="B5:B6"/>
    <mergeCell ref="C5:C6"/>
  </mergeCells>
  <printOptions horizontalCentered="1"/>
  <pageMargins left="0" right="0" top="0.2362204724409449" bottom="0" header="0.03937007874015748" footer="0"/>
  <pageSetup horizontalDpi="600" verticalDpi="600" orientation="landscape" paperSize="9" scale="80" r:id="rId4"/>
  <headerFooter alignWithMargins="0">
    <oddFooter>&amp;C&amp;P</oddFooter>
  </headerFooter>
  <drawing r:id="rId3"/>
  <legacyDrawing r:id="rId2"/>
</worksheet>
</file>

<file path=xl/worksheets/sheet4.xml><?xml version="1.0" encoding="utf-8"?>
<worksheet xmlns="http://schemas.openxmlformats.org/spreadsheetml/2006/main" xmlns:r="http://schemas.openxmlformats.org/officeDocument/2006/relationships">
  <sheetPr>
    <tabColor rgb="FFFF0000"/>
  </sheetPr>
  <dimension ref="A1:AC54"/>
  <sheetViews>
    <sheetView view="pageBreakPreview" zoomScale="90" zoomScaleNormal="85" zoomScaleSheetLayoutView="90" zoomScalePageLayoutView="0" workbookViewId="0" topLeftCell="A1">
      <pane xSplit="2" ySplit="7" topLeftCell="C40" activePane="bottomRight" state="frozen"/>
      <selection pane="topLeft" activeCell="F21" sqref="F21"/>
      <selection pane="topRight" activeCell="F21" sqref="F21"/>
      <selection pane="bottomLeft" activeCell="F21" sqref="F21"/>
      <selection pane="bottomRight" activeCell="H42" sqref="H42"/>
    </sheetView>
  </sheetViews>
  <sheetFormatPr defaultColWidth="8.625" defaultRowHeight="15.75"/>
  <cols>
    <col min="1" max="1" width="3.75390625" style="208" customWidth="1"/>
    <col min="2" max="2" width="24.875" style="198" customWidth="1"/>
    <col min="3" max="3" width="9.00390625" style="198" customWidth="1"/>
    <col min="4" max="4" width="10.375" style="198" customWidth="1"/>
    <col min="5" max="5" width="9.25390625" style="198" customWidth="1"/>
    <col min="6" max="6" width="10.125" style="198" customWidth="1"/>
    <col min="7" max="7" width="10.625" style="484" customWidth="1"/>
    <col min="8" max="8" width="8.625" style="198" customWidth="1"/>
    <col min="9" max="9" width="7.625" style="198" customWidth="1"/>
    <col min="10" max="10" width="7.25390625" style="198" customWidth="1"/>
    <col min="11" max="12" width="7.375" style="198" customWidth="1"/>
    <col min="13" max="13" width="8.875" style="198" customWidth="1"/>
    <col min="14" max="14" width="7.625" style="198" customWidth="1"/>
    <col min="15" max="17" width="7.25390625" style="198" customWidth="1"/>
    <col min="18" max="18" width="6.75390625" style="198" customWidth="1"/>
    <col min="19" max="19" width="7.375" style="198" customWidth="1"/>
    <col min="20" max="20" width="0.37109375" style="197" hidden="1" customWidth="1"/>
    <col min="21" max="21" width="8.25390625" style="197" hidden="1" customWidth="1"/>
    <col min="22" max="22" width="0.12890625" style="197" hidden="1" customWidth="1"/>
    <col min="23" max="23" width="5.625" style="197" customWidth="1"/>
    <col min="24" max="24" width="9.00390625" style="205" customWidth="1"/>
    <col min="25" max="26" width="9.00390625" style="205" hidden="1" customWidth="1"/>
    <col min="27" max="27" width="9.00390625" style="205" customWidth="1"/>
    <col min="28" max="47" width="9.00390625" style="198" customWidth="1"/>
    <col min="48" max="16384" width="8.625" style="198" customWidth="1"/>
  </cols>
  <sheetData>
    <row r="1" spans="1:19" ht="23.25" customHeight="1">
      <c r="A1" s="1394" t="s">
        <v>516</v>
      </c>
      <c r="B1" s="1394"/>
      <c r="C1" s="1394"/>
      <c r="D1" s="1394"/>
      <c r="E1" s="1394"/>
      <c r="F1" s="1394"/>
      <c r="G1" s="1394"/>
      <c r="H1" s="1394"/>
      <c r="I1" s="1394"/>
      <c r="J1" s="1394"/>
      <c r="K1" s="1394"/>
      <c r="L1" s="1394"/>
      <c r="M1" s="1394"/>
      <c r="N1" s="1394"/>
      <c r="O1" s="1394"/>
      <c r="P1" s="1394"/>
      <c r="Q1" s="1394"/>
      <c r="R1" s="1394"/>
      <c r="S1" s="1394"/>
    </row>
    <row r="2" spans="1:19" ht="20.25" customHeight="1">
      <c r="A2" s="1395" t="s">
        <v>1290</v>
      </c>
      <c r="B2" s="1395"/>
      <c r="C2" s="1395"/>
      <c r="D2" s="1395"/>
      <c r="E2" s="1395"/>
      <c r="F2" s="1395"/>
      <c r="G2" s="1395"/>
      <c r="H2" s="1395"/>
      <c r="I2" s="1395"/>
      <c r="J2" s="1395"/>
      <c r="K2" s="1395"/>
      <c r="L2" s="1395"/>
      <c r="M2" s="1395"/>
      <c r="N2" s="1395"/>
      <c r="O2" s="1395"/>
      <c r="P2" s="1395"/>
      <c r="Q2" s="1395"/>
      <c r="R2" s="1395"/>
      <c r="S2" s="1395"/>
    </row>
    <row r="3" spans="1:19" ht="16.5" customHeight="1">
      <c r="A3" s="1396" t="s">
        <v>1399</v>
      </c>
      <c r="B3" s="1396"/>
      <c r="C3" s="1396"/>
      <c r="D3" s="1396"/>
      <c r="E3" s="1396"/>
      <c r="F3" s="1396"/>
      <c r="G3" s="1396"/>
      <c r="H3" s="1396"/>
      <c r="I3" s="1396"/>
      <c r="J3" s="1396"/>
      <c r="K3" s="1396"/>
      <c r="L3" s="1396"/>
      <c r="M3" s="1396"/>
      <c r="N3" s="1396"/>
      <c r="O3" s="1396"/>
      <c r="P3" s="1396"/>
      <c r="Q3" s="1396"/>
      <c r="R3" s="1396"/>
      <c r="S3" s="1396"/>
    </row>
    <row r="4" spans="1:27" s="479" customFormat="1" ht="16.5">
      <c r="A4" s="870"/>
      <c r="B4" s="870"/>
      <c r="C4" s="870"/>
      <c r="D4" s="870"/>
      <c r="E4" s="870"/>
      <c r="F4" s="870"/>
      <c r="G4" s="870"/>
      <c r="H4" s="870"/>
      <c r="I4" s="870"/>
      <c r="J4" s="870"/>
      <c r="K4" s="870"/>
      <c r="L4" s="870"/>
      <c r="M4" s="870"/>
      <c r="N4" s="870"/>
      <c r="O4" s="870"/>
      <c r="P4" s="870"/>
      <c r="Q4" s="870"/>
      <c r="R4" s="870"/>
      <c r="S4" s="870"/>
      <c r="T4" s="477"/>
      <c r="U4" s="477"/>
      <c r="V4" s="477"/>
      <c r="W4" s="477"/>
      <c r="X4" s="478"/>
      <c r="Y4" s="478"/>
      <c r="Z4" s="478"/>
      <c r="AA4" s="478"/>
    </row>
    <row r="5" spans="1:27" s="482" customFormat="1" ht="21.75" customHeight="1">
      <c r="A5" s="1397" t="s">
        <v>387</v>
      </c>
      <c r="B5" s="1398" t="s">
        <v>3</v>
      </c>
      <c r="C5" s="1398" t="s">
        <v>497</v>
      </c>
      <c r="D5" s="1399" t="s">
        <v>1291</v>
      </c>
      <c r="E5" s="1400" t="s">
        <v>1279</v>
      </c>
      <c r="F5" s="1400"/>
      <c r="G5" s="1400" t="s">
        <v>1287</v>
      </c>
      <c r="H5" s="1400"/>
      <c r="I5" s="1400"/>
      <c r="J5" s="1400"/>
      <c r="K5" s="1400"/>
      <c r="L5" s="1400"/>
      <c r="M5" s="1400"/>
      <c r="N5" s="1400"/>
      <c r="O5" s="1400"/>
      <c r="P5" s="1400"/>
      <c r="Q5" s="1400"/>
      <c r="R5" s="1398" t="s">
        <v>517</v>
      </c>
      <c r="S5" s="1398"/>
      <c r="T5" s="480"/>
      <c r="U5" s="480"/>
      <c r="V5" s="480"/>
      <c r="W5" s="480"/>
      <c r="X5" s="481"/>
      <c r="Y5" s="481"/>
      <c r="Z5" s="481"/>
      <c r="AA5" s="481"/>
    </row>
    <row r="6" spans="1:27" s="200" customFormat="1" ht="15.75" customHeight="1">
      <c r="A6" s="1397"/>
      <c r="B6" s="1398"/>
      <c r="C6" s="1398"/>
      <c r="D6" s="1399"/>
      <c r="E6" s="1400" t="s">
        <v>518</v>
      </c>
      <c r="F6" s="1398" t="s">
        <v>7</v>
      </c>
      <c r="G6" s="1400" t="s">
        <v>287</v>
      </c>
      <c r="H6" s="1401" t="s">
        <v>499</v>
      </c>
      <c r="I6" s="1401"/>
      <c r="J6" s="1401"/>
      <c r="K6" s="1401"/>
      <c r="L6" s="1401"/>
      <c r="M6" s="1401"/>
      <c r="N6" s="1401"/>
      <c r="O6" s="1401"/>
      <c r="P6" s="1401"/>
      <c r="Q6" s="1401"/>
      <c r="R6" s="871">
        <v>2019</v>
      </c>
      <c r="S6" s="871">
        <v>2020</v>
      </c>
      <c r="T6" s="199"/>
      <c r="U6" s="199"/>
      <c r="V6" s="199"/>
      <c r="W6" s="199"/>
      <c r="X6" s="263"/>
      <c r="Y6" s="263"/>
      <c r="Z6" s="263"/>
      <c r="AA6" s="263"/>
    </row>
    <row r="7" spans="1:27" s="200" customFormat="1" ht="18.75" customHeight="1">
      <c r="A7" s="1397"/>
      <c r="B7" s="1398"/>
      <c r="C7" s="1398"/>
      <c r="D7" s="1399"/>
      <c r="E7" s="1400"/>
      <c r="F7" s="1398"/>
      <c r="G7" s="1400"/>
      <c r="H7" s="872" t="s">
        <v>519</v>
      </c>
      <c r="I7" s="872" t="s">
        <v>520</v>
      </c>
      <c r="J7" s="872" t="s">
        <v>501</v>
      </c>
      <c r="K7" s="872" t="s">
        <v>521</v>
      </c>
      <c r="L7" s="872" t="s">
        <v>522</v>
      </c>
      <c r="M7" s="872" t="s">
        <v>523</v>
      </c>
      <c r="N7" s="872" t="s">
        <v>502</v>
      </c>
      <c r="O7" s="872" t="s">
        <v>503</v>
      </c>
      <c r="P7" s="872" t="s">
        <v>504</v>
      </c>
      <c r="Q7" s="872" t="s">
        <v>524</v>
      </c>
      <c r="R7" s="873">
        <v>2018</v>
      </c>
      <c r="S7" s="874">
        <v>2019</v>
      </c>
      <c r="T7" s="199"/>
      <c r="U7" s="199"/>
      <c r="V7" s="199"/>
      <c r="W7" s="199"/>
      <c r="X7" s="263"/>
      <c r="Y7" s="263"/>
      <c r="Z7" s="263"/>
      <c r="AA7" s="263"/>
    </row>
    <row r="8" spans="1:27" s="202" customFormat="1" ht="14.25">
      <c r="A8" s="883" t="s">
        <v>46</v>
      </c>
      <c r="B8" s="884" t="s">
        <v>89</v>
      </c>
      <c r="C8" s="872"/>
      <c r="D8" s="875"/>
      <c r="E8" s="875"/>
      <c r="F8" s="875"/>
      <c r="G8" s="875"/>
      <c r="H8" s="875"/>
      <c r="I8" s="875"/>
      <c r="J8" s="875"/>
      <c r="K8" s="875"/>
      <c r="L8" s="875"/>
      <c r="M8" s="875"/>
      <c r="N8" s="875"/>
      <c r="O8" s="875"/>
      <c r="P8" s="875"/>
      <c r="Q8" s="875"/>
      <c r="R8" s="875"/>
      <c r="S8" s="875"/>
      <c r="T8" s="201"/>
      <c r="U8" s="201"/>
      <c r="V8" s="201"/>
      <c r="W8" s="201"/>
      <c r="X8" s="327">
        <f>D10+D11+D12+D13</f>
        <v>2812.5267510263666</v>
      </c>
      <c r="Y8" s="204"/>
      <c r="Z8" s="204"/>
      <c r="AA8" s="204"/>
    </row>
    <row r="9" spans="1:27" s="202" customFormat="1" ht="25.5">
      <c r="A9" s="885">
        <v>1</v>
      </c>
      <c r="B9" s="884" t="s">
        <v>525</v>
      </c>
      <c r="C9" s="872" t="s">
        <v>9</v>
      </c>
      <c r="D9" s="1357">
        <f>D10+D11+D12+D13</f>
        <v>2812.5267510263666</v>
      </c>
      <c r="E9" s="876">
        <f>E10+E11+E12+E13</f>
        <v>3070</v>
      </c>
      <c r="F9" s="1357">
        <f>F10+F11+F12+F13</f>
        <v>3032.478</v>
      </c>
      <c r="G9" s="876">
        <f>G10+G11+G12+G13</f>
        <v>3400</v>
      </c>
      <c r="H9" s="876"/>
      <c r="I9" s="876"/>
      <c r="J9" s="876"/>
      <c r="K9" s="876"/>
      <c r="L9" s="876"/>
      <c r="M9" s="876"/>
      <c r="N9" s="876"/>
      <c r="O9" s="876"/>
      <c r="P9" s="876"/>
      <c r="Q9" s="876"/>
      <c r="R9" s="1361">
        <f>F9/D9*100</f>
        <v>107.82041446871101</v>
      </c>
      <c r="S9" s="894">
        <f>G9/F9*100</f>
        <v>112.11952733045382</v>
      </c>
      <c r="T9" s="201"/>
      <c r="U9" s="201"/>
      <c r="V9" s="201"/>
      <c r="W9" s="315"/>
      <c r="X9" s="204"/>
      <c r="Y9" s="204"/>
      <c r="Z9" s="204"/>
      <c r="AA9" s="204"/>
    </row>
    <row r="10" spans="1:27" s="203" customFormat="1" ht="15">
      <c r="A10" s="888"/>
      <c r="B10" s="889" t="s">
        <v>526</v>
      </c>
      <c r="C10" s="890" t="s">
        <v>9</v>
      </c>
      <c r="D10" s="1358">
        <v>135.762</v>
      </c>
      <c r="E10" s="877">
        <v>135</v>
      </c>
      <c r="F10" s="1360">
        <v>144.718</v>
      </c>
      <c r="G10" s="877">
        <v>140</v>
      </c>
      <c r="H10" s="891"/>
      <c r="I10" s="892"/>
      <c r="J10" s="893"/>
      <c r="K10" s="893"/>
      <c r="L10" s="893"/>
      <c r="M10" s="893"/>
      <c r="N10" s="893"/>
      <c r="O10" s="893"/>
      <c r="P10" s="893"/>
      <c r="Q10" s="893"/>
      <c r="R10" s="1362">
        <f>F10/D10*100</f>
        <v>106.5968385851711</v>
      </c>
      <c r="S10" s="887">
        <f aca="true" t="shared" si="0" ref="S10:S23">G10/F10*100</f>
        <v>96.73986649898424</v>
      </c>
      <c r="T10" s="316"/>
      <c r="U10" s="197"/>
      <c r="V10" s="197"/>
      <c r="W10" s="197"/>
      <c r="X10" s="205"/>
      <c r="Y10" s="205"/>
      <c r="Z10" s="317"/>
      <c r="AA10" s="205"/>
    </row>
    <row r="11" spans="1:27" s="203" customFormat="1" ht="15">
      <c r="A11" s="888"/>
      <c r="B11" s="889" t="s">
        <v>527</v>
      </c>
      <c r="C11" s="890" t="s">
        <v>9</v>
      </c>
      <c r="D11" s="1359">
        <v>2235.2887510263663</v>
      </c>
      <c r="E11" s="877">
        <v>2423</v>
      </c>
      <c r="F11" s="1360">
        <v>2450.1</v>
      </c>
      <c r="G11" s="877">
        <v>2740</v>
      </c>
      <c r="H11" s="891"/>
      <c r="I11" s="892"/>
      <c r="J11" s="893"/>
      <c r="K11" s="893"/>
      <c r="L11" s="893"/>
      <c r="M11" s="893"/>
      <c r="N11" s="893"/>
      <c r="O11" s="893"/>
      <c r="P11" s="893"/>
      <c r="Q11" s="893"/>
      <c r="R11" s="1362">
        <f aca="true" t="shared" si="1" ref="R11:R23">F11/D11*100</f>
        <v>109.60999999999999</v>
      </c>
      <c r="S11" s="887">
        <f t="shared" si="0"/>
        <v>111.8321701155055</v>
      </c>
      <c r="T11" s="316"/>
      <c r="U11" s="197"/>
      <c r="V11" s="197"/>
      <c r="W11" s="197"/>
      <c r="X11" s="318"/>
      <c r="Y11" s="205"/>
      <c r="Z11" s="317"/>
      <c r="AA11" s="205"/>
    </row>
    <row r="12" spans="1:27" s="203" customFormat="1" ht="12.75" customHeight="1">
      <c r="A12" s="888"/>
      <c r="B12" s="889" t="s">
        <v>528</v>
      </c>
      <c r="C12" s="890" t="s">
        <v>9</v>
      </c>
      <c r="D12" s="1359">
        <v>398.994</v>
      </c>
      <c r="E12" s="877">
        <v>460</v>
      </c>
      <c r="F12" s="1360">
        <v>392.86</v>
      </c>
      <c r="G12" s="877">
        <v>470</v>
      </c>
      <c r="H12" s="891"/>
      <c r="I12" s="892"/>
      <c r="J12" s="893"/>
      <c r="K12" s="893"/>
      <c r="L12" s="893"/>
      <c r="M12" s="893"/>
      <c r="N12" s="893"/>
      <c r="O12" s="893"/>
      <c r="P12" s="893"/>
      <c r="Q12" s="893"/>
      <c r="R12" s="1362">
        <f t="shared" si="1"/>
        <v>98.46263352331113</v>
      </c>
      <c r="S12" s="887">
        <f t="shared" si="0"/>
        <v>119.63549356004684</v>
      </c>
      <c r="T12" s="316"/>
      <c r="U12" s="197"/>
      <c r="V12" s="197"/>
      <c r="W12" s="197"/>
      <c r="X12" s="318"/>
      <c r="Y12" s="205"/>
      <c r="Z12" s="317"/>
      <c r="AA12" s="205"/>
    </row>
    <row r="13" spans="1:27" s="203" customFormat="1" ht="15">
      <c r="A13" s="888"/>
      <c r="B13" s="889" t="s">
        <v>1340</v>
      </c>
      <c r="C13" s="890" t="s">
        <v>9</v>
      </c>
      <c r="D13" s="1359">
        <v>42.482</v>
      </c>
      <c r="E13" s="877">
        <v>52</v>
      </c>
      <c r="F13" s="1360">
        <v>44.8</v>
      </c>
      <c r="G13" s="877">
        <v>50</v>
      </c>
      <c r="H13" s="891"/>
      <c r="I13" s="892"/>
      <c r="J13" s="893"/>
      <c r="K13" s="893"/>
      <c r="L13" s="893"/>
      <c r="M13" s="893"/>
      <c r="N13" s="893"/>
      <c r="O13" s="893"/>
      <c r="P13" s="893"/>
      <c r="Q13" s="893"/>
      <c r="R13" s="1362">
        <f t="shared" si="1"/>
        <v>105.45642860505626</v>
      </c>
      <c r="S13" s="887">
        <f t="shared" si="0"/>
        <v>111.60714285714286</v>
      </c>
      <c r="T13" s="316"/>
      <c r="U13" s="197"/>
      <c r="V13" s="197"/>
      <c r="W13" s="197"/>
      <c r="X13" s="318"/>
      <c r="Y13" s="205"/>
      <c r="Z13" s="317"/>
      <c r="AA13" s="205"/>
    </row>
    <row r="14" spans="1:29" s="204" customFormat="1" ht="25.5">
      <c r="A14" s="885">
        <v>2</v>
      </c>
      <c r="B14" s="884" t="s">
        <v>529</v>
      </c>
      <c r="C14" s="872"/>
      <c r="D14" s="875"/>
      <c r="E14" s="875"/>
      <c r="F14" s="894"/>
      <c r="G14" s="875"/>
      <c r="H14" s="875"/>
      <c r="I14" s="875"/>
      <c r="J14" s="875"/>
      <c r="K14" s="875"/>
      <c r="L14" s="875"/>
      <c r="M14" s="875"/>
      <c r="N14" s="875"/>
      <c r="O14" s="875"/>
      <c r="P14" s="895"/>
      <c r="Q14" s="875"/>
      <c r="R14" s="887"/>
      <c r="S14" s="887"/>
      <c r="X14" s="1068"/>
      <c r="Y14" s="1068"/>
      <c r="Z14" s="1068"/>
      <c r="AA14" s="1068"/>
      <c r="AB14" s="1068"/>
      <c r="AC14" s="1068"/>
    </row>
    <row r="15" spans="1:29" s="205" customFormat="1" ht="15.75" customHeight="1">
      <c r="A15" s="888"/>
      <c r="B15" s="896" t="s">
        <v>435</v>
      </c>
      <c r="C15" s="890" t="s">
        <v>530</v>
      </c>
      <c r="D15" s="879">
        <v>468.003</v>
      </c>
      <c r="E15" s="878">
        <v>522</v>
      </c>
      <c r="F15" s="879">
        <v>429.012</v>
      </c>
      <c r="G15" s="879">
        <f>SUM(H15:Q15)</f>
        <v>576</v>
      </c>
      <c r="H15" s="879">
        <v>71</v>
      </c>
      <c r="I15" s="886">
        <v>0</v>
      </c>
      <c r="J15" s="879">
        <v>47</v>
      </c>
      <c r="K15" s="879">
        <v>0</v>
      </c>
      <c r="L15" s="879">
        <v>0</v>
      </c>
      <c r="M15" s="879">
        <v>37</v>
      </c>
      <c r="N15" s="879">
        <v>7</v>
      </c>
      <c r="O15" s="879">
        <v>414</v>
      </c>
      <c r="P15" s="886">
        <v>0</v>
      </c>
      <c r="Q15" s="886">
        <v>0</v>
      </c>
      <c r="R15" s="887">
        <f t="shared" si="1"/>
        <v>91.66864314972341</v>
      </c>
      <c r="S15" s="887">
        <f t="shared" si="0"/>
        <v>134.2619786859109</v>
      </c>
      <c r="T15" s="319"/>
      <c r="U15" s="320"/>
      <c r="V15" s="316"/>
      <c r="W15" s="1067"/>
      <c r="X15" s="1069"/>
      <c r="Y15" s="1070"/>
      <c r="Z15" s="1071"/>
      <c r="AA15" s="1072"/>
      <c r="AB15" s="478"/>
      <c r="AC15" s="478"/>
    </row>
    <row r="16" spans="1:29" s="205" customFormat="1" ht="16.5" customHeight="1">
      <c r="A16" s="888"/>
      <c r="B16" s="897" t="s">
        <v>531</v>
      </c>
      <c r="C16" s="890" t="s">
        <v>442</v>
      </c>
      <c r="D16" s="879">
        <v>4.596</v>
      </c>
      <c r="E16" s="878">
        <v>7</v>
      </c>
      <c r="F16" s="879">
        <v>4.32</v>
      </c>
      <c r="G16" s="879">
        <v>7</v>
      </c>
      <c r="H16" s="879"/>
      <c r="I16" s="879"/>
      <c r="J16" s="879"/>
      <c r="K16" s="879"/>
      <c r="L16" s="879"/>
      <c r="M16" s="879"/>
      <c r="N16" s="879"/>
      <c r="O16" s="879"/>
      <c r="P16" s="879"/>
      <c r="Q16" s="879"/>
      <c r="R16" s="887">
        <f t="shared" si="1"/>
        <v>93.99477806788512</v>
      </c>
      <c r="S16" s="887">
        <f t="shared" si="0"/>
        <v>162.037037037037</v>
      </c>
      <c r="T16" s="321"/>
      <c r="U16" s="320"/>
      <c r="V16" s="316"/>
      <c r="W16" s="1067"/>
      <c r="X16" s="1069"/>
      <c r="Y16" s="1073"/>
      <c r="Z16" s="1071"/>
      <c r="AA16" s="1072"/>
      <c r="AB16" s="478"/>
      <c r="AC16" s="478"/>
    </row>
    <row r="17" spans="1:29" s="205" customFormat="1" ht="14.25" customHeight="1">
      <c r="A17" s="888"/>
      <c r="B17" s="896" t="s">
        <v>437</v>
      </c>
      <c r="C17" s="898" t="s">
        <v>468</v>
      </c>
      <c r="D17" s="879">
        <v>744.724</v>
      </c>
      <c r="E17" s="879">
        <v>700</v>
      </c>
      <c r="F17" s="879">
        <v>797.56</v>
      </c>
      <c r="G17" s="879">
        <v>600</v>
      </c>
      <c r="H17" s="879"/>
      <c r="I17" s="879"/>
      <c r="J17" s="879"/>
      <c r="K17" s="879"/>
      <c r="L17" s="879"/>
      <c r="M17" s="879"/>
      <c r="N17" s="879"/>
      <c r="O17" s="879"/>
      <c r="P17" s="879"/>
      <c r="Q17" s="879"/>
      <c r="R17" s="887">
        <f t="shared" si="1"/>
        <v>107.094708912295</v>
      </c>
      <c r="S17" s="887">
        <f t="shared" si="0"/>
        <v>75.22944982195698</v>
      </c>
      <c r="T17" s="319"/>
      <c r="U17" s="322"/>
      <c r="V17" s="316"/>
      <c r="W17" s="1067"/>
      <c r="X17" s="1069"/>
      <c r="Y17" s="1070"/>
      <c r="Z17" s="1074"/>
      <c r="AA17" s="1072"/>
      <c r="AB17" s="478"/>
      <c r="AC17" s="478"/>
    </row>
    <row r="18" spans="1:29" s="205" customFormat="1" ht="12.75">
      <c r="A18" s="888"/>
      <c r="B18" s="896" t="s">
        <v>469</v>
      </c>
      <c r="C18" s="898" t="s">
        <v>443</v>
      </c>
      <c r="D18" s="879">
        <v>70</v>
      </c>
      <c r="E18" s="878">
        <v>73</v>
      </c>
      <c r="F18" s="879">
        <v>73</v>
      </c>
      <c r="G18" s="879">
        <v>73</v>
      </c>
      <c r="H18" s="879"/>
      <c r="I18" s="879"/>
      <c r="J18" s="879"/>
      <c r="K18" s="879"/>
      <c r="L18" s="879"/>
      <c r="M18" s="879"/>
      <c r="N18" s="879"/>
      <c r="O18" s="879"/>
      <c r="P18" s="879"/>
      <c r="Q18" s="879"/>
      <c r="R18" s="887">
        <f t="shared" si="1"/>
        <v>104.28571428571429</v>
      </c>
      <c r="S18" s="887">
        <f t="shared" si="0"/>
        <v>100</v>
      </c>
      <c r="T18" s="319"/>
      <c r="U18" s="322"/>
      <c r="V18" s="323"/>
      <c r="W18" s="1067"/>
      <c r="X18" s="1069"/>
      <c r="Y18" s="1070"/>
      <c r="Z18" s="1074"/>
      <c r="AA18" s="1072"/>
      <c r="AB18" s="478"/>
      <c r="AC18" s="478"/>
    </row>
    <row r="19" spans="1:29" s="205" customFormat="1" ht="15" customHeight="1">
      <c r="A19" s="888"/>
      <c r="B19" s="896" t="s">
        <v>470</v>
      </c>
      <c r="C19" s="898" t="s">
        <v>444</v>
      </c>
      <c r="D19" s="879">
        <v>8.718</v>
      </c>
      <c r="E19" s="878">
        <v>8.7</v>
      </c>
      <c r="F19" s="879">
        <v>9.075</v>
      </c>
      <c r="G19" s="879">
        <v>9.1</v>
      </c>
      <c r="H19" s="879"/>
      <c r="I19" s="879"/>
      <c r="J19" s="879"/>
      <c r="K19" s="879"/>
      <c r="L19" s="879"/>
      <c r="M19" s="879"/>
      <c r="N19" s="879"/>
      <c r="O19" s="879"/>
      <c r="P19" s="879"/>
      <c r="Q19" s="879"/>
      <c r="R19" s="887">
        <f t="shared" si="1"/>
        <v>104.0949759119064</v>
      </c>
      <c r="S19" s="887">
        <f t="shared" si="0"/>
        <v>100.27548209366392</v>
      </c>
      <c r="T19" s="319"/>
      <c r="U19" s="322"/>
      <c r="V19" s="323"/>
      <c r="W19" s="1067"/>
      <c r="X19" s="1069"/>
      <c r="Y19" s="1070"/>
      <c r="Z19" s="1074"/>
      <c r="AA19" s="1072"/>
      <c r="AB19" s="478"/>
      <c r="AC19" s="478"/>
    </row>
    <row r="20" spans="1:29" s="205" customFormat="1" ht="17.25" customHeight="1">
      <c r="A20" s="888"/>
      <c r="B20" s="896" t="s">
        <v>438</v>
      </c>
      <c r="C20" s="898" t="s">
        <v>445</v>
      </c>
      <c r="D20" s="879">
        <v>2240</v>
      </c>
      <c r="E20" s="878">
        <v>2300</v>
      </c>
      <c r="F20" s="879">
        <v>2300</v>
      </c>
      <c r="G20" s="879">
        <v>2500</v>
      </c>
      <c r="H20" s="879">
        <v>2500</v>
      </c>
      <c r="I20" s="879"/>
      <c r="J20" s="879"/>
      <c r="K20" s="879"/>
      <c r="L20" s="879"/>
      <c r="M20" s="879"/>
      <c r="N20" s="879"/>
      <c r="O20" s="879"/>
      <c r="P20" s="879"/>
      <c r="Q20" s="879"/>
      <c r="R20" s="887">
        <f t="shared" si="1"/>
        <v>102.67857142857142</v>
      </c>
      <c r="S20" s="887">
        <f t="shared" si="0"/>
        <v>108.69565217391303</v>
      </c>
      <c r="T20" s="319"/>
      <c r="U20" s="322"/>
      <c r="V20" s="316"/>
      <c r="W20" s="1067"/>
      <c r="X20" s="1069"/>
      <c r="Y20" s="1070"/>
      <c r="Z20" s="1074"/>
      <c r="AA20" s="1072"/>
      <c r="AB20" s="478"/>
      <c r="AC20" s="478"/>
    </row>
    <row r="21" spans="1:29" s="205" customFormat="1" ht="12.75">
      <c r="A21" s="888"/>
      <c r="B21" s="896" t="s">
        <v>471</v>
      </c>
      <c r="C21" s="890" t="s">
        <v>58</v>
      </c>
      <c r="D21" s="879">
        <v>303.373</v>
      </c>
      <c r="E21" s="878">
        <v>270</v>
      </c>
      <c r="F21" s="879">
        <v>330.3</v>
      </c>
      <c r="G21" s="879">
        <v>330.3</v>
      </c>
      <c r="H21" s="879">
        <v>330.3</v>
      </c>
      <c r="I21" s="899"/>
      <c r="J21" s="899"/>
      <c r="K21" s="899"/>
      <c r="L21" s="899"/>
      <c r="M21" s="899"/>
      <c r="N21" s="899"/>
      <c r="O21" s="899"/>
      <c r="P21" s="899"/>
      <c r="Q21" s="899"/>
      <c r="R21" s="887">
        <f t="shared" si="1"/>
        <v>108.87587227604303</v>
      </c>
      <c r="S21" s="887">
        <f t="shared" si="0"/>
        <v>100</v>
      </c>
      <c r="T21" s="319"/>
      <c r="U21" s="320"/>
      <c r="V21" s="316"/>
      <c r="W21" s="1067"/>
      <c r="X21" s="1069"/>
      <c r="Y21" s="1070"/>
      <c r="Z21" s="1071"/>
      <c r="AA21" s="1072"/>
      <c r="AB21" s="478"/>
      <c r="AC21" s="478"/>
    </row>
    <row r="22" spans="1:29" s="205" customFormat="1" ht="15.75" customHeight="1">
      <c r="A22" s="888"/>
      <c r="B22" s="896" t="s">
        <v>439</v>
      </c>
      <c r="C22" s="898" t="s">
        <v>446</v>
      </c>
      <c r="D22" s="879">
        <v>713</v>
      </c>
      <c r="E22" s="878">
        <v>1100</v>
      </c>
      <c r="F22" s="879">
        <v>600</v>
      </c>
      <c r="G22" s="879">
        <v>1000</v>
      </c>
      <c r="H22" s="879">
        <v>1000</v>
      </c>
      <c r="I22" s="900"/>
      <c r="J22" s="900"/>
      <c r="K22" s="900"/>
      <c r="L22" s="900"/>
      <c r="M22" s="900"/>
      <c r="N22" s="900"/>
      <c r="O22" s="900"/>
      <c r="P22" s="900"/>
      <c r="Q22" s="900"/>
      <c r="R22" s="887">
        <f t="shared" si="1"/>
        <v>84.15147265077138</v>
      </c>
      <c r="S22" s="887">
        <f t="shared" si="0"/>
        <v>166.66666666666669</v>
      </c>
      <c r="T22" s="319"/>
      <c r="U22" s="322"/>
      <c r="V22" s="324"/>
      <c r="W22" s="1067"/>
      <c r="X22" s="1069"/>
      <c r="Y22" s="1070"/>
      <c r="Z22" s="1074"/>
      <c r="AA22" s="1072"/>
      <c r="AB22" s="478"/>
      <c r="AC22" s="478"/>
    </row>
    <row r="23" spans="1:29" s="205" customFormat="1" ht="15.75" customHeight="1">
      <c r="A23" s="888"/>
      <c r="B23" s="896" t="s">
        <v>440</v>
      </c>
      <c r="C23" s="898" t="s">
        <v>18</v>
      </c>
      <c r="D23" s="879">
        <v>27193</v>
      </c>
      <c r="E23" s="880">
        <v>25890.76</v>
      </c>
      <c r="F23" s="879">
        <v>29205</v>
      </c>
      <c r="G23" s="879">
        <v>30125</v>
      </c>
      <c r="H23" s="898"/>
      <c r="I23" s="898"/>
      <c r="J23" s="898"/>
      <c r="K23" s="898"/>
      <c r="L23" s="898"/>
      <c r="M23" s="898"/>
      <c r="N23" s="898"/>
      <c r="O23" s="898"/>
      <c r="P23" s="898"/>
      <c r="Q23" s="898"/>
      <c r="R23" s="887">
        <f t="shared" si="1"/>
        <v>107.39896296841098</v>
      </c>
      <c r="S23" s="887">
        <f t="shared" si="0"/>
        <v>103.15014552302688</v>
      </c>
      <c r="X23" s="1069"/>
      <c r="Y23" s="1070"/>
      <c r="Z23" s="1074"/>
      <c r="AA23" s="1072"/>
      <c r="AB23" s="478"/>
      <c r="AC23" s="478"/>
    </row>
    <row r="24" spans="1:29" s="204" customFormat="1" ht="15.75" customHeight="1">
      <c r="A24" s="883" t="s">
        <v>88</v>
      </c>
      <c r="B24" s="884" t="s">
        <v>532</v>
      </c>
      <c r="C24" s="872"/>
      <c r="D24" s="875"/>
      <c r="E24" s="875"/>
      <c r="F24" s="875"/>
      <c r="G24" s="875"/>
      <c r="H24" s="875"/>
      <c r="I24" s="875"/>
      <c r="J24" s="875"/>
      <c r="K24" s="875"/>
      <c r="L24" s="875"/>
      <c r="M24" s="875"/>
      <c r="N24" s="875"/>
      <c r="O24" s="875"/>
      <c r="P24" s="875"/>
      <c r="Q24" s="875"/>
      <c r="R24" s="887"/>
      <c r="S24" s="887"/>
      <c r="X24" s="1068"/>
      <c r="Y24" s="1068"/>
      <c r="Z24" s="1068"/>
      <c r="AA24" s="1068"/>
      <c r="AB24" s="1068"/>
      <c r="AC24" s="1068"/>
    </row>
    <row r="25" spans="1:29" s="203" customFormat="1" ht="25.5">
      <c r="A25" s="888"/>
      <c r="B25" s="896" t="s">
        <v>533</v>
      </c>
      <c r="C25" s="898" t="s">
        <v>9</v>
      </c>
      <c r="D25" s="912">
        <v>10907.995</v>
      </c>
      <c r="E25" s="912">
        <v>12760</v>
      </c>
      <c r="F25" s="912">
        <v>12814.915</v>
      </c>
      <c r="G25" s="912">
        <f>SUM(H25:Q25)</f>
        <v>14600</v>
      </c>
      <c r="H25" s="913">
        <v>2475</v>
      </c>
      <c r="I25" s="913">
        <v>920</v>
      </c>
      <c r="J25" s="913">
        <v>1158</v>
      </c>
      <c r="K25" s="913">
        <v>545</v>
      </c>
      <c r="L25" s="913">
        <v>630</v>
      </c>
      <c r="M25" s="913">
        <v>6611</v>
      </c>
      <c r="N25" s="913">
        <v>730</v>
      </c>
      <c r="O25" s="913">
        <v>733</v>
      </c>
      <c r="P25" s="913">
        <v>508</v>
      </c>
      <c r="Q25" s="913">
        <v>290</v>
      </c>
      <c r="R25" s="887">
        <f>F25/D25*100</f>
        <v>117.48185619813725</v>
      </c>
      <c r="S25" s="887">
        <f>G25/F25*100</f>
        <v>113.92974514462249</v>
      </c>
      <c r="T25" s="197">
        <f>F25/E25</f>
        <v>1.00430368338558</v>
      </c>
      <c r="U25" s="197">
        <f>F25/D25</f>
        <v>1.1748185619813725</v>
      </c>
      <c r="V25" s="197"/>
      <c r="W25" s="197"/>
      <c r="X25" s="478"/>
      <c r="Y25" s="478"/>
      <c r="Z25" s="478"/>
      <c r="AA25" s="478"/>
      <c r="AB25" s="1075"/>
      <c r="AC25" s="1075"/>
    </row>
    <row r="26" spans="1:27" s="203" customFormat="1" ht="24" customHeight="1" hidden="1">
      <c r="A26" s="888"/>
      <c r="B26" s="901" t="s">
        <v>534</v>
      </c>
      <c r="C26" s="898" t="s">
        <v>9</v>
      </c>
      <c r="D26" s="881"/>
      <c r="E26" s="881"/>
      <c r="F26" s="881"/>
      <c r="G26" s="881"/>
      <c r="H26" s="881"/>
      <c r="I26" s="881"/>
      <c r="J26" s="881"/>
      <c r="K26" s="881"/>
      <c r="L26" s="881"/>
      <c r="M26" s="881"/>
      <c r="N26" s="881"/>
      <c r="O26" s="881"/>
      <c r="P26" s="881"/>
      <c r="Q26" s="881"/>
      <c r="R26" s="887"/>
      <c r="S26" s="887"/>
      <c r="T26" s="201"/>
      <c r="U26" s="197"/>
      <c r="V26" s="197"/>
      <c r="W26" s="197"/>
      <c r="X26" s="205"/>
      <c r="Y26" s="205"/>
      <c r="Z26" s="205"/>
      <c r="AA26" s="205"/>
    </row>
    <row r="27" spans="1:27" s="203" customFormat="1" ht="15" customHeight="1" hidden="1">
      <c r="A27" s="888"/>
      <c r="B27" s="902" t="s">
        <v>10</v>
      </c>
      <c r="C27" s="898"/>
      <c r="D27" s="881"/>
      <c r="E27" s="881"/>
      <c r="F27" s="881"/>
      <c r="G27" s="881"/>
      <c r="H27" s="881"/>
      <c r="I27" s="881"/>
      <c r="J27" s="881"/>
      <c r="K27" s="881"/>
      <c r="L27" s="881"/>
      <c r="M27" s="881"/>
      <c r="N27" s="881"/>
      <c r="O27" s="881"/>
      <c r="P27" s="881"/>
      <c r="Q27" s="881"/>
      <c r="R27" s="887"/>
      <c r="S27" s="887"/>
      <c r="T27" s="201"/>
      <c r="U27" s="197"/>
      <c r="V27" s="197"/>
      <c r="W27" s="197"/>
      <c r="X27" s="205"/>
      <c r="Y27" s="205"/>
      <c r="Z27" s="205"/>
      <c r="AA27" s="205"/>
    </row>
    <row r="28" spans="1:27" s="203" customFormat="1" ht="15" customHeight="1" hidden="1">
      <c r="A28" s="888"/>
      <c r="B28" s="903" t="s">
        <v>535</v>
      </c>
      <c r="C28" s="898" t="s">
        <v>9</v>
      </c>
      <c r="D28" s="881"/>
      <c r="E28" s="881"/>
      <c r="F28" s="881"/>
      <c r="G28" s="881"/>
      <c r="H28" s="881"/>
      <c r="I28" s="881"/>
      <c r="J28" s="881"/>
      <c r="K28" s="881"/>
      <c r="L28" s="881"/>
      <c r="M28" s="881"/>
      <c r="N28" s="881"/>
      <c r="O28" s="881"/>
      <c r="P28" s="881"/>
      <c r="Q28" s="881"/>
      <c r="R28" s="887"/>
      <c r="S28" s="887"/>
      <c r="T28" s="201"/>
      <c r="U28" s="197"/>
      <c r="V28" s="197"/>
      <c r="W28" s="197"/>
      <c r="X28" s="205"/>
      <c r="Y28" s="205"/>
      <c r="Z28" s="205"/>
      <c r="AA28" s="205"/>
    </row>
    <row r="29" spans="1:27" s="203" customFormat="1" ht="15" customHeight="1" hidden="1">
      <c r="A29" s="888"/>
      <c r="B29" s="903" t="s">
        <v>536</v>
      </c>
      <c r="C29" s="898" t="s">
        <v>9</v>
      </c>
      <c r="D29" s="881"/>
      <c r="E29" s="881"/>
      <c r="F29" s="881"/>
      <c r="G29" s="881"/>
      <c r="H29" s="881"/>
      <c r="I29" s="881"/>
      <c r="J29" s="881"/>
      <c r="K29" s="881"/>
      <c r="L29" s="881"/>
      <c r="M29" s="881"/>
      <c r="N29" s="881"/>
      <c r="O29" s="881"/>
      <c r="P29" s="881"/>
      <c r="Q29" s="881"/>
      <c r="R29" s="887"/>
      <c r="S29" s="887"/>
      <c r="T29" s="201"/>
      <c r="U29" s="197"/>
      <c r="V29" s="197"/>
      <c r="W29" s="197"/>
      <c r="X29" s="205"/>
      <c r="Y29" s="205"/>
      <c r="Z29" s="205"/>
      <c r="AA29" s="205"/>
    </row>
    <row r="30" spans="1:27" s="203" customFormat="1" ht="24" customHeight="1" hidden="1">
      <c r="A30" s="888"/>
      <c r="B30" s="903" t="s">
        <v>537</v>
      </c>
      <c r="C30" s="898" t="s">
        <v>9</v>
      </c>
      <c r="D30" s="881"/>
      <c r="E30" s="881"/>
      <c r="F30" s="881"/>
      <c r="G30" s="881"/>
      <c r="H30" s="881"/>
      <c r="I30" s="881"/>
      <c r="J30" s="881"/>
      <c r="K30" s="881"/>
      <c r="L30" s="881"/>
      <c r="M30" s="881"/>
      <c r="N30" s="881"/>
      <c r="O30" s="881"/>
      <c r="P30" s="881"/>
      <c r="Q30" s="881"/>
      <c r="R30" s="887"/>
      <c r="S30" s="887"/>
      <c r="T30" s="201"/>
      <c r="U30" s="197"/>
      <c r="V30" s="197"/>
      <c r="W30" s="197"/>
      <c r="X30" s="205"/>
      <c r="Y30" s="205"/>
      <c r="Z30" s="205"/>
      <c r="AA30" s="205"/>
    </row>
    <row r="31" spans="1:27" s="202" customFormat="1" ht="14.25">
      <c r="A31" s="883" t="s">
        <v>98</v>
      </c>
      <c r="B31" s="904" t="s">
        <v>538</v>
      </c>
      <c r="C31" s="905"/>
      <c r="D31" s="875"/>
      <c r="E31" s="875"/>
      <c r="F31" s="875"/>
      <c r="G31" s="881"/>
      <c r="H31" s="906"/>
      <c r="I31" s="906"/>
      <c r="J31" s="906"/>
      <c r="K31" s="906"/>
      <c r="L31" s="906"/>
      <c r="M31" s="906"/>
      <c r="N31" s="906"/>
      <c r="O31" s="906"/>
      <c r="P31" s="906"/>
      <c r="Q31" s="906"/>
      <c r="R31" s="887"/>
      <c r="S31" s="887"/>
      <c r="T31" s="201"/>
      <c r="U31" s="201"/>
      <c r="V31" s="325"/>
      <c r="W31" s="325"/>
      <c r="X31" s="204"/>
      <c r="Y31" s="204"/>
      <c r="Z31" s="204"/>
      <c r="AA31" s="204"/>
    </row>
    <row r="32" spans="1:27" s="202" customFormat="1" ht="24.75" customHeight="1">
      <c r="A32" s="885">
        <v>1</v>
      </c>
      <c r="B32" s="884" t="s">
        <v>539</v>
      </c>
      <c r="C32" s="905" t="s">
        <v>22</v>
      </c>
      <c r="D32" s="886">
        <v>44</v>
      </c>
      <c r="E32" s="886">
        <v>50</v>
      </c>
      <c r="F32" s="886">
        <v>50</v>
      </c>
      <c r="G32" s="886">
        <v>57</v>
      </c>
      <c r="H32" s="905"/>
      <c r="I32" s="905"/>
      <c r="J32" s="905"/>
      <c r="K32" s="905"/>
      <c r="L32" s="905"/>
      <c r="M32" s="905"/>
      <c r="N32" s="905"/>
      <c r="O32" s="905"/>
      <c r="P32" s="905"/>
      <c r="Q32" s="905"/>
      <c r="R32" s="887">
        <f>F32/D32*100</f>
        <v>113.63636363636364</v>
      </c>
      <c r="S32" s="887">
        <f>G32/F32*100</f>
        <v>113.99999999999999</v>
      </c>
      <c r="T32" s="201"/>
      <c r="U32" s="201"/>
      <c r="V32" s="201"/>
      <c r="W32" s="201"/>
      <c r="X32" s="326"/>
      <c r="Y32" s="204"/>
      <c r="Z32" s="204"/>
      <c r="AA32" s="204"/>
    </row>
    <row r="33" spans="1:27" s="202" customFormat="1" ht="14.25">
      <c r="A33" s="888"/>
      <c r="B33" s="896" t="s">
        <v>540</v>
      </c>
      <c r="C33" s="898" t="s">
        <v>22</v>
      </c>
      <c r="D33" s="882">
        <v>21.6</v>
      </c>
      <c r="E33" s="882">
        <v>27</v>
      </c>
      <c r="F33" s="882">
        <v>27</v>
      </c>
      <c r="G33" s="882">
        <v>28.3</v>
      </c>
      <c r="H33" s="898"/>
      <c r="I33" s="898"/>
      <c r="J33" s="898"/>
      <c r="K33" s="898"/>
      <c r="L33" s="898"/>
      <c r="M33" s="898"/>
      <c r="N33" s="898"/>
      <c r="O33" s="898"/>
      <c r="P33" s="898"/>
      <c r="Q33" s="898"/>
      <c r="R33" s="887">
        <f>F33/D33*100</f>
        <v>125</v>
      </c>
      <c r="S33" s="887">
        <f>G33/F33*100</f>
        <v>104.81481481481482</v>
      </c>
      <c r="T33" s="201"/>
      <c r="U33" s="201"/>
      <c r="V33" s="201"/>
      <c r="W33" s="201"/>
      <c r="X33" s="204"/>
      <c r="Y33" s="204"/>
      <c r="Z33" s="204"/>
      <c r="AA33" s="204"/>
    </row>
    <row r="34" spans="1:27" s="202" customFormat="1" ht="14.25">
      <c r="A34" s="883">
        <v>2</v>
      </c>
      <c r="B34" s="884" t="s">
        <v>541</v>
      </c>
      <c r="C34" s="905"/>
      <c r="D34" s="882"/>
      <c r="E34" s="882"/>
      <c r="F34" s="882"/>
      <c r="G34" s="882"/>
      <c r="H34" s="882"/>
      <c r="I34" s="882"/>
      <c r="J34" s="875"/>
      <c r="K34" s="875"/>
      <c r="L34" s="875"/>
      <c r="M34" s="875"/>
      <c r="N34" s="875"/>
      <c r="O34" s="875"/>
      <c r="P34" s="875"/>
      <c r="Q34" s="875"/>
      <c r="R34" s="887"/>
      <c r="S34" s="887"/>
      <c r="T34" s="201"/>
      <c r="U34" s="201"/>
      <c r="V34" s="201"/>
      <c r="W34" s="201"/>
      <c r="X34" s="204"/>
      <c r="Y34" s="204"/>
      <c r="Z34" s="204"/>
      <c r="AA34" s="204"/>
    </row>
    <row r="35" spans="1:27" s="203" customFormat="1" ht="15">
      <c r="A35" s="888"/>
      <c r="B35" s="896" t="s">
        <v>542</v>
      </c>
      <c r="C35" s="890" t="s">
        <v>475</v>
      </c>
      <c r="D35" s="882">
        <v>12.7</v>
      </c>
      <c r="E35" s="882">
        <v>13</v>
      </c>
      <c r="F35" s="882">
        <v>13</v>
      </c>
      <c r="G35" s="882">
        <v>13.65</v>
      </c>
      <c r="H35" s="882"/>
      <c r="I35" s="882"/>
      <c r="J35" s="898"/>
      <c r="K35" s="898"/>
      <c r="L35" s="898"/>
      <c r="M35" s="898"/>
      <c r="N35" s="898"/>
      <c r="O35" s="898"/>
      <c r="P35" s="898"/>
      <c r="Q35" s="898"/>
      <c r="R35" s="887">
        <f>F35/D35*100</f>
        <v>102.36220472440945</v>
      </c>
      <c r="S35" s="887">
        <f>G35/F35*100</f>
        <v>105</v>
      </c>
      <c r="T35" s="201"/>
      <c r="U35" s="197"/>
      <c r="V35" s="197"/>
      <c r="W35" s="197"/>
      <c r="X35" s="204"/>
      <c r="Y35" s="205"/>
      <c r="Z35" s="205"/>
      <c r="AA35" s="205"/>
    </row>
    <row r="36" spans="1:27" s="203" customFormat="1" ht="15">
      <c r="A36" s="888"/>
      <c r="B36" s="901" t="s">
        <v>543</v>
      </c>
      <c r="C36" s="898" t="s">
        <v>58</v>
      </c>
      <c r="D36" s="882">
        <v>140</v>
      </c>
      <c r="E36" s="882">
        <v>150</v>
      </c>
      <c r="F36" s="882">
        <v>150</v>
      </c>
      <c r="G36" s="882">
        <v>155</v>
      </c>
      <c r="H36" s="882"/>
      <c r="I36" s="882"/>
      <c r="J36" s="898"/>
      <c r="K36" s="898"/>
      <c r="L36" s="898"/>
      <c r="M36" s="898"/>
      <c r="N36" s="898"/>
      <c r="O36" s="898"/>
      <c r="P36" s="898"/>
      <c r="Q36" s="898"/>
      <c r="R36" s="887">
        <f>F36/D36*100</f>
        <v>107.14285714285714</v>
      </c>
      <c r="S36" s="887">
        <f>G36/F36*100</f>
        <v>103.33333333333334</v>
      </c>
      <c r="T36" s="201"/>
      <c r="U36" s="197"/>
      <c r="V36" s="197"/>
      <c r="W36" s="197"/>
      <c r="X36" s="204"/>
      <c r="Y36" s="205"/>
      <c r="Z36" s="205"/>
      <c r="AA36" s="205"/>
    </row>
    <row r="37" spans="1:27" s="203" customFormat="1" ht="15">
      <c r="A37" s="888"/>
      <c r="B37" s="896" t="s">
        <v>544</v>
      </c>
      <c r="C37" s="890" t="s">
        <v>475</v>
      </c>
      <c r="D37" s="882">
        <v>13.3</v>
      </c>
      <c r="E37" s="882">
        <v>16</v>
      </c>
      <c r="F37" s="882">
        <v>16</v>
      </c>
      <c r="G37" s="882">
        <v>17.5</v>
      </c>
      <c r="H37" s="882"/>
      <c r="I37" s="882"/>
      <c r="J37" s="898"/>
      <c r="K37" s="898"/>
      <c r="L37" s="898"/>
      <c r="M37" s="898"/>
      <c r="N37" s="898"/>
      <c r="O37" s="898"/>
      <c r="P37" s="898"/>
      <c r="Q37" s="898"/>
      <c r="R37" s="887">
        <f>F37/D37*100</f>
        <v>120.30075187969925</v>
      </c>
      <c r="S37" s="887">
        <f>G37/F37*100</f>
        <v>109.375</v>
      </c>
      <c r="T37" s="201"/>
      <c r="U37" s="197"/>
      <c r="V37" s="197"/>
      <c r="W37" s="197"/>
      <c r="X37" s="204"/>
      <c r="Y37" s="205"/>
      <c r="Z37" s="205"/>
      <c r="AA37" s="205"/>
    </row>
    <row r="38" spans="1:27" s="203" customFormat="1" ht="15">
      <c r="A38" s="888"/>
      <c r="B38" s="896" t="s">
        <v>545</v>
      </c>
      <c r="C38" s="890" t="s">
        <v>475</v>
      </c>
      <c r="D38" s="882">
        <v>9.6</v>
      </c>
      <c r="E38" s="882">
        <v>10</v>
      </c>
      <c r="F38" s="882">
        <v>10</v>
      </c>
      <c r="G38" s="882">
        <v>10.02</v>
      </c>
      <c r="H38" s="882"/>
      <c r="I38" s="882"/>
      <c r="J38" s="898"/>
      <c r="K38" s="898"/>
      <c r="L38" s="898"/>
      <c r="M38" s="898"/>
      <c r="N38" s="898"/>
      <c r="O38" s="898"/>
      <c r="P38" s="898"/>
      <c r="Q38" s="898"/>
      <c r="R38" s="887">
        <f>F38/D38*100</f>
        <v>104.16666666666667</v>
      </c>
      <c r="S38" s="887">
        <f>G38/F38*100</f>
        <v>100.2</v>
      </c>
      <c r="T38" s="201"/>
      <c r="U38" s="197"/>
      <c r="V38" s="197"/>
      <c r="W38" s="197"/>
      <c r="X38" s="204"/>
      <c r="Y38" s="205"/>
      <c r="Z38" s="205"/>
      <c r="AA38" s="205"/>
    </row>
    <row r="39" spans="1:27" s="202" customFormat="1" ht="22.5" customHeight="1">
      <c r="A39" s="885" t="s">
        <v>101</v>
      </c>
      <c r="B39" s="904" t="s">
        <v>546</v>
      </c>
      <c r="C39" s="905"/>
      <c r="D39" s="879"/>
      <c r="E39" s="879"/>
      <c r="F39" s="879"/>
      <c r="G39" s="879"/>
      <c r="H39" s="879"/>
      <c r="I39" s="879"/>
      <c r="J39" s="872"/>
      <c r="K39" s="872"/>
      <c r="L39" s="872"/>
      <c r="M39" s="872"/>
      <c r="N39" s="872"/>
      <c r="O39" s="872"/>
      <c r="P39" s="872"/>
      <c r="Q39" s="872"/>
      <c r="R39" s="887"/>
      <c r="S39" s="887"/>
      <c r="T39" s="201"/>
      <c r="U39" s="201"/>
      <c r="V39" s="201"/>
      <c r="W39" s="201"/>
      <c r="X39" s="204"/>
      <c r="Y39" s="204"/>
      <c r="Z39" s="204"/>
      <c r="AA39" s="204"/>
    </row>
    <row r="40" spans="1:27" s="202" customFormat="1" ht="26.25" customHeight="1">
      <c r="A40" s="885">
        <v>1</v>
      </c>
      <c r="B40" s="884" t="s">
        <v>547</v>
      </c>
      <c r="C40" s="905" t="s">
        <v>22</v>
      </c>
      <c r="D40" s="886">
        <v>23</v>
      </c>
      <c r="E40" s="886">
        <v>33</v>
      </c>
      <c r="F40" s="886">
        <v>33</v>
      </c>
      <c r="G40" s="886">
        <v>45</v>
      </c>
      <c r="H40" s="905"/>
      <c r="I40" s="905"/>
      <c r="J40" s="905"/>
      <c r="K40" s="905"/>
      <c r="L40" s="905"/>
      <c r="M40" s="905"/>
      <c r="N40" s="905"/>
      <c r="O40" s="905"/>
      <c r="P40" s="905"/>
      <c r="Q40" s="905"/>
      <c r="R40" s="894">
        <f>F40/D40*100</f>
        <v>143.47826086956522</v>
      </c>
      <c r="S40" s="894">
        <f>G40/F40*100</f>
        <v>136.36363636363635</v>
      </c>
      <c r="T40" s="201"/>
      <c r="U40" s="201"/>
      <c r="V40" s="201"/>
      <c r="W40" s="201"/>
      <c r="X40" s="204"/>
      <c r="Y40" s="327"/>
      <c r="Z40" s="204"/>
      <c r="AA40" s="204"/>
    </row>
    <row r="41" spans="1:27" s="202" customFormat="1" ht="14.25">
      <c r="A41" s="888"/>
      <c r="B41" s="896" t="s">
        <v>540</v>
      </c>
      <c r="C41" s="898" t="s">
        <v>22</v>
      </c>
      <c r="D41" s="882">
        <v>10</v>
      </c>
      <c r="E41" s="882">
        <v>15</v>
      </c>
      <c r="F41" s="882">
        <v>15</v>
      </c>
      <c r="G41" s="882">
        <v>18.5</v>
      </c>
      <c r="H41" s="907"/>
      <c r="I41" s="898"/>
      <c r="J41" s="898"/>
      <c r="K41" s="898"/>
      <c r="L41" s="898"/>
      <c r="M41" s="898"/>
      <c r="N41" s="898"/>
      <c r="O41" s="898"/>
      <c r="P41" s="898"/>
      <c r="Q41" s="898"/>
      <c r="R41" s="887">
        <f>F41/D41*100</f>
        <v>150</v>
      </c>
      <c r="S41" s="887">
        <f>G41/F41*100</f>
        <v>123.33333333333334</v>
      </c>
      <c r="T41" s="201"/>
      <c r="U41" s="201"/>
      <c r="V41" s="201"/>
      <c r="W41" s="201"/>
      <c r="X41" s="204"/>
      <c r="Y41" s="204"/>
      <c r="Z41" s="204"/>
      <c r="AA41" s="204"/>
    </row>
    <row r="42" spans="1:27" s="202" customFormat="1" ht="24.75" customHeight="1">
      <c r="A42" s="885">
        <v>2</v>
      </c>
      <c r="B42" s="884" t="s">
        <v>548</v>
      </c>
      <c r="C42" s="905"/>
      <c r="D42" s="875"/>
      <c r="E42" s="875"/>
      <c r="F42" s="875"/>
      <c r="G42" s="875"/>
      <c r="H42" s="875"/>
      <c r="I42" s="875"/>
      <c r="J42" s="875"/>
      <c r="K42" s="875"/>
      <c r="L42" s="875"/>
      <c r="M42" s="875"/>
      <c r="N42" s="875"/>
      <c r="O42" s="875"/>
      <c r="P42" s="875"/>
      <c r="Q42" s="875"/>
      <c r="R42" s="875"/>
      <c r="S42" s="875"/>
      <c r="T42" s="201"/>
      <c r="U42" s="201"/>
      <c r="V42" s="201"/>
      <c r="W42" s="201"/>
      <c r="X42" s="204"/>
      <c r="Y42" s="204"/>
      <c r="Z42" s="204"/>
      <c r="AA42" s="204"/>
    </row>
    <row r="43" spans="1:27" s="203" customFormat="1" ht="15">
      <c r="A43" s="888"/>
      <c r="B43" s="896" t="s">
        <v>549</v>
      </c>
      <c r="C43" s="872" t="s">
        <v>475</v>
      </c>
      <c r="D43" s="882">
        <v>5</v>
      </c>
      <c r="E43" s="882">
        <v>5</v>
      </c>
      <c r="F43" s="882">
        <v>5</v>
      </c>
      <c r="G43" s="882">
        <v>5</v>
      </c>
      <c r="H43" s="898"/>
      <c r="I43" s="898"/>
      <c r="J43" s="898"/>
      <c r="K43" s="898"/>
      <c r="L43" s="898"/>
      <c r="M43" s="898"/>
      <c r="N43" s="898"/>
      <c r="O43" s="898"/>
      <c r="P43" s="898"/>
      <c r="Q43" s="898"/>
      <c r="R43" s="887">
        <f>F43/D43*100</f>
        <v>100</v>
      </c>
      <c r="S43" s="887">
        <f>G43/F43*100</f>
        <v>100</v>
      </c>
      <c r="T43" s="206"/>
      <c r="U43" s="197"/>
      <c r="V43" s="197"/>
      <c r="W43" s="197"/>
      <c r="X43" s="204"/>
      <c r="Y43" s="205"/>
      <c r="Z43" s="205"/>
      <c r="AA43" s="205"/>
    </row>
    <row r="44" spans="1:27" s="203" customFormat="1" ht="15">
      <c r="A44" s="888"/>
      <c r="B44" s="896" t="s">
        <v>550</v>
      </c>
      <c r="C44" s="872" t="s">
        <v>475</v>
      </c>
      <c r="D44" s="882">
        <v>8</v>
      </c>
      <c r="E44" s="882">
        <v>11</v>
      </c>
      <c r="F44" s="882">
        <v>11</v>
      </c>
      <c r="G44" s="882">
        <v>11.4</v>
      </c>
      <c r="H44" s="898"/>
      <c r="I44" s="898"/>
      <c r="J44" s="898"/>
      <c r="K44" s="898"/>
      <c r="L44" s="898"/>
      <c r="M44" s="898"/>
      <c r="N44" s="898"/>
      <c r="O44" s="898"/>
      <c r="P44" s="898"/>
      <c r="Q44" s="898"/>
      <c r="R44" s="887">
        <f>F44/D44*100</f>
        <v>137.5</v>
      </c>
      <c r="S44" s="887">
        <f>G44/F44*100</f>
        <v>103.63636363636364</v>
      </c>
      <c r="T44" s="206"/>
      <c r="U44" s="197"/>
      <c r="V44" s="197"/>
      <c r="W44" s="197"/>
      <c r="X44" s="204"/>
      <c r="Y44" s="205"/>
      <c r="Z44" s="205"/>
      <c r="AA44" s="205"/>
    </row>
    <row r="45" spans="1:27" s="203" customFormat="1" ht="15">
      <c r="A45" s="888"/>
      <c r="B45" s="896" t="s">
        <v>551</v>
      </c>
      <c r="C45" s="872" t="s">
        <v>475</v>
      </c>
      <c r="D45" s="882">
        <v>9</v>
      </c>
      <c r="E45" s="882">
        <v>17</v>
      </c>
      <c r="F45" s="882">
        <v>17</v>
      </c>
      <c r="G45" s="882">
        <v>19.5</v>
      </c>
      <c r="H45" s="898"/>
      <c r="I45" s="898"/>
      <c r="J45" s="898"/>
      <c r="K45" s="898"/>
      <c r="L45" s="898"/>
      <c r="M45" s="898"/>
      <c r="N45" s="898"/>
      <c r="O45" s="898"/>
      <c r="P45" s="898"/>
      <c r="Q45" s="898"/>
      <c r="R45" s="887">
        <f>F45/D45*100</f>
        <v>188.88888888888889</v>
      </c>
      <c r="S45" s="887">
        <f>G45/F45*100</f>
        <v>114.70588235294117</v>
      </c>
      <c r="T45" s="206"/>
      <c r="U45" s="197"/>
      <c r="V45" s="197"/>
      <c r="W45" s="197"/>
      <c r="X45" s="204"/>
      <c r="Y45" s="205"/>
      <c r="Z45" s="205"/>
      <c r="AA45" s="205"/>
    </row>
    <row r="46" spans="1:27" s="202" customFormat="1" ht="15">
      <c r="A46" s="883" t="s">
        <v>552</v>
      </c>
      <c r="B46" s="884" t="s">
        <v>483</v>
      </c>
      <c r="C46" s="875"/>
      <c r="D46" s="882"/>
      <c r="E46" s="882"/>
      <c r="F46" s="882"/>
      <c r="G46" s="882"/>
      <c r="H46" s="875"/>
      <c r="I46" s="875"/>
      <c r="J46" s="875"/>
      <c r="K46" s="875"/>
      <c r="L46" s="875"/>
      <c r="M46" s="875"/>
      <c r="N46" s="875"/>
      <c r="O46" s="875"/>
      <c r="P46" s="875"/>
      <c r="Q46" s="875"/>
      <c r="R46" s="887"/>
      <c r="S46" s="887"/>
      <c r="T46" s="206"/>
      <c r="U46" s="201"/>
      <c r="V46" s="201"/>
      <c r="W46" s="201"/>
      <c r="X46" s="204"/>
      <c r="Y46" s="204"/>
      <c r="Z46" s="204"/>
      <c r="AA46" s="204"/>
    </row>
    <row r="47" spans="1:27" s="203" customFormat="1" ht="15">
      <c r="A47" s="883">
        <v>1</v>
      </c>
      <c r="B47" s="884" t="s">
        <v>484</v>
      </c>
      <c r="C47" s="881"/>
      <c r="D47" s="882"/>
      <c r="E47" s="882"/>
      <c r="F47" s="882"/>
      <c r="G47" s="882"/>
      <c r="H47" s="881"/>
      <c r="I47" s="881"/>
      <c r="J47" s="881"/>
      <c r="K47" s="881"/>
      <c r="L47" s="881"/>
      <c r="M47" s="881"/>
      <c r="N47" s="881"/>
      <c r="O47" s="881"/>
      <c r="P47" s="881"/>
      <c r="Q47" s="881"/>
      <c r="R47" s="887"/>
      <c r="S47" s="887"/>
      <c r="T47" s="197"/>
      <c r="U47" s="197"/>
      <c r="V47" s="197"/>
      <c r="W47" s="197"/>
      <c r="X47" s="205"/>
      <c r="Y47" s="205"/>
      <c r="Z47" s="205"/>
      <c r="AA47" s="205"/>
    </row>
    <row r="48" spans="1:27" s="203" customFormat="1" ht="15">
      <c r="A48" s="888"/>
      <c r="B48" s="896" t="s">
        <v>485</v>
      </c>
      <c r="C48" s="898" t="s">
        <v>486</v>
      </c>
      <c r="D48" s="882">
        <v>1549.8</v>
      </c>
      <c r="E48" s="881">
        <v>1800</v>
      </c>
      <c r="F48" s="882">
        <v>1813.2</v>
      </c>
      <c r="G48" s="882">
        <v>1879.1</v>
      </c>
      <c r="H48" s="908"/>
      <c r="I48" s="908"/>
      <c r="J48" s="908"/>
      <c r="K48" s="908"/>
      <c r="L48" s="908"/>
      <c r="M48" s="908"/>
      <c r="N48" s="908"/>
      <c r="O48" s="908"/>
      <c r="P48" s="908"/>
      <c r="Q48" s="908"/>
      <c r="R48" s="887">
        <f>F48/D48*100</f>
        <v>116.9957413859853</v>
      </c>
      <c r="S48" s="887">
        <f>G48/F48*100</f>
        <v>103.63445841606</v>
      </c>
      <c r="T48" s="197"/>
      <c r="U48" s="328"/>
      <c r="V48" s="197"/>
      <c r="W48" s="197"/>
      <c r="X48" s="1393" t="s">
        <v>986</v>
      </c>
      <c r="Y48" s="205"/>
      <c r="Z48" s="205"/>
      <c r="AA48" s="205"/>
    </row>
    <row r="49" spans="1:27" s="203" customFormat="1" ht="15">
      <c r="A49" s="888"/>
      <c r="B49" s="896" t="s">
        <v>487</v>
      </c>
      <c r="C49" s="890" t="s">
        <v>488</v>
      </c>
      <c r="D49" s="882">
        <v>290330.9</v>
      </c>
      <c r="E49" s="881">
        <v>330000</v>
      </c>
      <c r="F49" s="882">
        <v>335742.7</v>
      </c>
      <c r="G49" s="882">
        <v>347095.7</v>
      </c>
      <c r="H49" s="909"/>
      <c r="I49" s="909"/>
      <c r="J49" s="909"/>
      <c r="K49" s="909"/>
      <c r="L49" s="909"/>
      <c r="M49" s="909"/>
      <c r="N49" s="909"/>
      <c r="O49" s="909"/>
      <c r="P49" s="909"/>
      <c r="Q49" s="909"/>
      <c r="R49" s="887">
        <f>F49/D49*100</f>
        <v>115.64139400938723</v>
      </c>
      <c r="S49" s="887">
        <f>G49/F49*100</f>
        <v>103.38145847996098</v>
      </c>
      <c r="T49" s="206"/>
      <c r="U49" s="197"/>
      <c r="V49" s="197"/>
      <c r="W49" s="197">
        <f>F49/E49*100</f>
        <v>101.74021212121211</v>
      </c>
      <c r="X49" s="1393"/>
      <c r="Y49" s="205"/>
      <c r="Z49" s="205"/>
      <c r="AA49" s="205"/>
    </row>
    <row r="50" spans="1:27" s="203" customFormat="1" ht="16.5" customHeight="1">
      <c r="A50" s="883">
        <v>2</v>
      </c>
      <c r="B50" s="884" t="s">
        <v>489</v>
      </c>
      <c r="C50" s="898"/>
      <c r="D50" s="881"/>
      <c r="E50" s="881"/>
      <c r="F50" s="893"/>
      <c r="G50" s="910"/>
      <c r="H50" s="908"/>
      <c r="I50" s="908"/>
      <c r="J50" s="908"/>
      <c r="K50" s="908"/>
      <c r="L50" s="908"/>
      <c r="M50" s="908"/>
      <c r="N50" s="908"/>
      <c r="O50" s="908"/>
      <c r="P50" s="908"/>
      <c r="Q50" s="908"/>
      <c r="R50" s="887"/>
      <c r="S50" s="887"/>
      <c r="T50" s="197"/>
      <c r="U50" s="328"/>
      <c r="V50" s="197"/>
      <c r="W50" s="197"/>
      <c r="X50" s="1393"/>
      <c r="Y50" s="205"/>
      <c r="Z50" s="205"/>
      <c r="AA50" s="205"/>
    </row>
    <row r="51" spans="1:27" s="203" customFormat="1" ht="15.75" customHeight="1">
      <c r="A51" s="888"/>
      <c r="B51" s="896" t="s">
        <v>490</v>
      </c>
      <c r="C51" s="898" t="s">
        <v>491</v>
      </c>
      <c r="D51" s="882">
        <v>3521.6</v>
      </c>
      <c r="E51" s="881">
        <v>3750</v>
      </c>
      <c r="F51" s="882">
        <v>3808.3</v>
      </c>
      <c r="G51" s="882">
        <v>3880</v>
      </c>
      <c r="H51" s="908"/>
      <c r="I51" s="908"/>
      <c r="J51" s="908"/>
      <c r="K51" s="908"/>
      <c r="L51" s="908"/>
      <c r="M51" s="908"/>
      <c r="N51" s="908"/>
      <c r="O51" s="908"/>
      <c r="P51" s="908"/>
      <c r="Q51" s="908"/>
      <c r="R51" s="887">
        <f>F51/D51*100</f>
        <v>108.14118582462517</v>
      </c>
      <c r="S51" s="887">
        <f>G51/F51*100</f>
        <v>101.8827298269569</v>
      </c>
      <c r="T51" s="197"/>
      <c r="U51" s="328"/>
      <c r="V51" s="197"/>
      <c r="W51" s="197"/>
      <c r="X51" s="1393"/>
      <c r="Y51" s="205"/>
      <c r="Z51" s="205"/>
      <c r="AA51" s="205"/>
    </row>
    <row r="52" spans="1:27" s="203" customFormat="1" ht="25.5">
      <c r="A52" s="911"/>
      <c r="B52" s="896" t="s">
        <v>492</v>
      </c>
      <c r="C52" s="898" t="s">
        <v>493</v>
      </c>
      <c r="D52" s="879">
        <v>158000.5</v>
      </c>
      <c r="E52" s="881">
        <v>170000</v>
      </c>
      <c r="F52" s="879">
        <v>171912.3</v>
      </c>
      <c r="G52" s="879">
        <v>175390.3</v>
      </c>
      <c r="H52" s="908"/>
      <c r="I52" s="908"/>
      <c r="J52" s="908"/>
      <c r="K52" s="908"/>
      <c r="L52" s="908"/>
      <c r="M52" s="908"/>
      <c r="N52" s="908"/>
      <c r="O52" s="908"/>
      <c r="P52" s="908"/>
      <c r="Q52" s="908"/>
      <c r="R52" s="887">
        <f>F52/D52*100</f>
        <v>108.80490884522516</v>
      </c>
      <c r="S52" s="887">
        <f>G52/F52*100</f>
        <v>102.02312458154536</v>
      </c>
      <c r="T52" s="197"/>
      <c r="U52" s="328"/>
      <c r="V52" s="197"/>
      <c r="W52" s="197"/>
      <c r="X52" s="1393"/>
      <c r="Y52" s="205"/>
      <c r="Z52" s="205"/>
      <c r="AA52" s="205"/>
    </row>
    <row r="53" spans="1:27" s="203" customFormat="1" ht="15">
      <c r="A53" s="207"/>
      <c r="G53" s="483"/>
      <c r="T53" s="197"/>
      <c r="U53" s="197"/>
      <c r="V53" s="197"/>
      <c r="W53" s="197"/>
      <c r="X53" s="205"/>
      <c r="Y53" s="205"/>
      <c r="Z53" s="205"/>
      <c r="AA53" s="205"/>
    </row>
    <row r="54" spans="1:27" s="203" customFormat="1" ht="15">
      <c r="A54" s="207"/>
      <c r="G54" s="483"/>
      <c r="T54" s="197"/>
      <c r="U54" s="197"/>
      <c r="V54" s="197"/>
      <c r="W54" s="197"/>
      <c r="X54" s="205"/>
      <c r="Y54" s="205"/>
      <c r="Z54" s="205"/>
      <c r="AA54" s="205"/>
    </row>
  </sheetData>
  <sheetProtection/>
  <mergeCells count="15">
    <mergeCell ref="R5:S5"/>
    <mergeCell ref="E6:E7"/>
    <mergeCell ref="F6:F7"/>
    <mergeCell ref="G6:G7"/>
    <mergeCell ref="H6:Q6"/>
    <mergeCell ref="X48:X52"/>
    <mergeCell ref="A1:S1"/>
    <mergeCell ref="A2:S2"/>
    <mergeCell ref="A3:S3"/>
    <mergeCell ref="A5:A7"/>
    <mergeCell ref="B5:B7"/>
    <mergeCell ref="C5:C7"/>
    <mergeCell ref="D5:D7"/>
    <mergeCell ref="E5:F5"/>
    <mergeCell ref="G5:Q5"/>
  </mergeCells>
  <printOptions horizontalCentered="1"/>
  <pageMargins left="0" right="0" top="0.236220472440945" bottom="0.31496062992126" header="0" footer="0"/>
  <pageSetup horizontalDpi="600" verticalDpi="600" orientation="landscape" paperSize="9" scale="80" r:id="rId2"/>
  <headerFooter alignWithMargins="0">
    <oddFooter>&amp;R&amp;P/&amp;N</oddFooter>
  </headerFooter>
  <drawing r:id="rId1"/>
</worksheet>
</file>

<file path=xl/worksheets/sheet5.xml><?xml version="1.0" encoding="utf-8"?>
<worksheet xmlns="http://schemas.openxmlformats.org/spreadsheetml/2006/main" xmlns:r="http://schemas.openxmlformats.org/officeDocument/2006/relationships">
  <sheetPr>
    <tabColor rgb="FFFF0000"/>
    <pageSetUpPr fitToPage="1"/>
  </sheetPr>
  <dimension ref="A1:N69"/>
  <sheetViews>
    <sheetView tabSelected="1" view="pageBreakPreview" zoomScale="85" zoomScaleNormal="70" zoomScaleSheetLayoutView="85" zoomScalePageLayoutView="0" workbookViewId="0" topLeftCell="A1">
      <pane xSplit="2" ySplit="6" topLeftCell="C19" activePane="bottomRight" state="frozen"/>
      <selection pane="topLeft" activeCell="A1" sqref="A1"/>
      <selection pane="topRight" activeCell="C1" sqref="C1"/>
      <selection pane="bottomLeft" activeCell="A7" sqref="A7"/>
      <selection pane="bottomRight" activeCell="A3" sqref="A3:K3"/>
    </sheetView>
  </sheetViews>
  <sheetFormatPr defaultColWidth="9.00390625" defaultRowHeight="15.75"/>
  <cols>
    <col min="1" max="1" width="4.00390625" style="485" customWidth="1"/>
    <col min="2" max="2" width="35.75390625" style="485" customWidth="1"/>
    <col min="3" max="3" width="11.25390625" style="485" customWidth="1"/>
    <col min="4" max="5" width="11.375" style="485" customWidth="1"/>
    <col min="6" max="6" width="11.375" style="485" hidden="1" customWidth="1"/>
    <col min="7" max="10" width="11.375" style="485" customWidth="1"/>
    <col min="11" max="11" width="10.125" style="485" customWidth="1"/>
    <col min="12" max="12" width="8.75390625" style="485" customWidth="1"/>
    <col min="13" max="16384" width="9.00390625" style="485" customWidth="1"/>
  </cols>
  <sheetData>
    <row r="1" spans="1:11" ht="21.75" customHeight="1">
      <c r="A1" s="1405" t="s">
        <v>103</v>
      </c>
      <c r="B1" s="1405"/>
      <c r="C1" s="1405"/>
      <c r="D1" s="1405"/>
      <c r="E1" s="1405"/>
      <c r="F1" s="1405"/>
      <c r="G1" s="1405"/>
      <c r="H1" s="1405"/>
      <c r="I1" s="1405"/>
      <c r="J1" s="1405"/>
      <c r="K1" s="1405"/>
    </row>
    <row r="2" spans="1:11" ht="21.75" customHeight="1">
      <c r="A2" s="1406" t="s">
        <v>1292</v>
      </c>
      <c r="B2" s="1406"/>
      <c r="C2" s="1406"/>
      <c r="D2" s="1406"/>
      <c r="E2" s="1406"/>
      <c r="F2" s="1406"/>
      <c r="G2" s="1406"/>
      <c r="H2" s="1406"/>
      <c r="I2" s="1406"/>
      <c r="J2" s="1406"/>
      <c r="K2" s="1406"/>
    </row>
    <row r="3" spans="1:11" ht="21.75" customHeight="1">
      <c r="A3" s="1373" t="s">
        <v>1401</v>
      </c>
      <c r="B3" s="1373"/>
      <c r="C3" s="1373"/>
      <c r="D3" s="1373"/>
      <c r="E3" s="1373"/>
      <c r="F3" s="1373"/>
      <c r="G3" s="1373"/>
      <c r="H3" s="1373"/>
      <c r="I3" s="1373"/>
      <c r="J3" s="1373"/>
      <c r="K3" s="1373"/>
    </row>
    <row r="5" spans="1:11" s="148" customFormat="1" ht="21.75" customHeight="1">
      <c r="A5" s="1407" t="s">
        <v>2</v>
      </c>
      <c r="B5" s="1407" t="s">
        <v>3</v>
      </c>
      <c r="C5" s="1407" t="s">
        <v>4</v>
      </c>
      <c r="D5" s="1407" t="s">
        <v>1278</v>
      </c>
      <c r="E5" s="1409" t="s">
        <v>1279</v>
      </c>
      <c r="F5" s="1410"/>
      <c r="G5" s="1410"/>
      <c r="H5" s="1410"/>
      <c r="I5" s="1411"/>
      <c r="J5" s="1407" t="s">
        <v>1282</v>
      </c>
      <c r="K5" s="1402" t="s">
        <v>1283</v>
      </c>
    </row>
    <row r="6" spans="1:11" s="148" customFormat="1" ht="72" customHeight="1">
      <c r="A6" s="1408"/>
      <c r="B6" s="1408"/>
      <c r="C6" s="1408"/>
      <c r="D6" s="1408"/>
      <c r="E6" s="565" t="s">
        <v>5</v>
      </c>
      <c r="F6" s="565" t="s">
        <v>6</v>
      </c>
      <c r="G6" s="566" t="s">
        <v>7</v>
      </c>
      <c r="H6" s="566" t="s">
        <v>1280</v>
      </c>
      <c r="I6" s="264" t="s">
        <v>1281</v>
      </c>
      <c r="J6" s="1408"/>
      <c r="K6" s="1403"/>
    </row>
    <row r="7" spans="1:11" s="267" customFormat="1" ht="17.25" customHeight="1">
      <c r="A7" s="265">
        <v>1</v>
      </c>
      <c r="B7" s="265">
        <v>2</v>
      </c>
      <c r="C7" s="265">
        <v>3</v>
      </c>
      <c r="D7" s="265">
        <v>4</v>
      </c>
      <c r="E7" s="265">
        <v>5</v>
      </c>
      <c r="F7" s="265">
        <v>6</v>
      </c>
      <c r="G7" s="265">
        <v>6</v>
      </c>
      <c r="H7" s="266" t="s">
        <v>981</v>
      </c>
      <c r="I7" s="266" t="s">
        <v>982</v>
      </c>
      <c r="J7" s="265">
        <v>9</v>
      </c>
      <c r="K7" s="265" t="s">
        <v>1121</v>
      </c>
    </row>
    <row r="8" spans="1:11" s="401" customFormat="1" ht="15.75">
      <c r="A8" s="397" t="s">
        <v>104</v>
      </c>
      <c r="B8" s="398" t="s">
        <v>105</v>
      </c>
      <c r="C8" s="399"/>
      <c r="D8" s="400"/>
      <c r="E8" s="400"/>
      <c r="F8" s="400"/>
      <c r="G8" s="400"/>
      <c r="H8" s="400"/>
      <c r="I8" s="400"/>
      <c r="J8" s="400"/>
      <c r="K8" s="400"/>
    </row>
    <row r="9" spans="1:12" ht="15.75">
      <c r="A9" s="486" t="s">
        <v>11</v>
      </c>
      <c r="B9" s="487" t="s">
        <v>106</v>
      </c>
      <c r="C9" s="265" t="s">
        <v>116</v>
      </c>
      <c r="D9" s="488">
        <v>576.658</v>
      </c>
      <c r="E9" s="488">
        <v>586.442</v>
      </c>
      <c r="F9" s="488"/>
      <c r="G9" s="488">
        <v>601.659</v>
      </c>
      <c r="H9" s="494">
        <f>G9/D9%</f>
        <v>104.33549868379524</v>
      </c>
      <c r="I9" s="489">
        <f>G9/E9%</f>
        <v>102.59480050883123</v>
      </c>
      <c r="J9" s="488">
        <v>612.32</v>
      </c>
      <c r="K9" s="489">
        <f>J9/G9%</f>
        <v>101.77193393600031</v>
      </c>
      <c r="L9" s="490"/>
    </row>
    <row r="10" spans="1:11" ht="15.75">
      <c r="A10" s="491"/>
      <c r="B10" s="402" t="s">
        <v>107</v>
      </c>
      <c r="C10" s="265" t="s">
        <v>116</v>
      </c>
      <c r="D10" s="488">
        <v>489.479</v>
      </c>
      <c r="E10" s="488">
        <v>497.647</v>
      </c>
      <c r="F10" s="488"/>
      <c r="G10" s="488">
        <v>515.144</v>
      </c>
      <c r="H10" s="494">
        <f aca="true" t="shared" si="0" ref="H10:H16">G10/D10%</f>
        <v>105.24333015308115</v>
      </c>
      <c r="I10" s="489">
        <f aca="true" t="shared" si="1" ref="I10:I17">G10/E10%</f>
        <v>103.515946042074</v>
      </c>
      <c r="J10" s="488">
        <v>524.392</v>
      </c>
      <c r="K10" s="489">
        <f aca="true" t="shared" si="2" ref="K10:K15">J10/G10%</f>
        <v>101.79522618918206</v>
      </c>
    </row>
    <row r="11" spans="1:11" ht="15.75">
      <c r="A11" s="491"/>
      <c r="B11" s="402" t="s">
        <v>108</v>
      </c>
      <c r="C11" s="403" t="s">
        <v>109</v>
      </c>
      <c r="D11" s="493">
        <v>476.319</v>
      </c>
      <c r="E11" s="592">
        <v>484.401</v>
      </c>
      <c r="F11" s="493"/>
      <c r="G11" s="493">
        <v>496.97</v>
      </c>
      <c r="H11" s="494">
        <f t="shared" si="0"/>
        <v>104.33553983779778</v>
      </c>
      <c r="I11" s="489">
        <f t="shared" si="1"/>
        <v>102.59475104304079</v>
      </c>
      <c r="J11" s="493">
        <v>505.776</v>
      </c>
      <c r="K11" s="489">
        <f t="shared" si="2"/>
        <v>101.77193794394027</v>
      </c>
    </row>
    <row r="12" spans="1:11" s="406" customFormat="1" ht="15.75">
      <c r="A12" s="486" t="s">
        <v>11</v>
      </c>
      <c r="B12" s="487" t="s">
        <v>110</v>
      </c>
      <c r="C12" s="404" t="s">
        <v>111</v>
      </c>
      <c r="D12" s="405">
        <v>67.9</v>
      </c>
      <c r="E12" s="405">
        <v>68.2</v>
      </c>
      <c r="F12" s="405"/>
      <c r="G12" s="405">
        <v>68.2</v>
      </c>
      <c r="H12" s="494">
        <f t="shared" si="0"/>
        <v>100.44182621502209</v>
      </c>
      <c r="I12" s="489">
        <f t="shared" si="1"/>
        <v>100</v>
      </c>
      <c r="J12" s="493">
        <v>68.5</v>
      </c>
      <c r="K12" s="489">
        <f t="shared" si="2"/>
        <v>100.43988269794721</v>
      </c>
    </row>
    <row r="13" spans="1:11" s="406" customFormat="1" ht="30">
      <c r="A13" s="486" t="s">
        <v>11</v>
      </c>
      <c r="B13" s="487" t="s">
        <v>112</v>
      </c>
      <c r="C13" s="407" t="s">
        <v>113</v>
      </c>
      <c r="D13" s="405">
        <v>112.6</v>
      </c>
      <c r="E13" s="405">
        <v>109</v>
      </c>
      <c r="F13" s="405"/>
      <c r="G13" s="405">
        <v>109</v>
      </c>
      <c r="H13" s="494">
        <f t="shared" si="0"/>
        <v>96.80284191829486</v>
      </c>
      <c r="I13" s="489">
        <f t="shared" si="1"/>
        <v>99.99999999999999</v>
      </c>
      <c r="J13" s="405">
        <v>109</v>
      </c>
      <c r="K13" s="489">
        <f t="shared" si="2"/>
        <v>99.99999999999999</v>
      </c>
    </row>
    <row r="14" spans="1:11" s="401" customFormat="1" ht="15.75">
      <c r="A14" s="399" t="s">
        <v>114</v>
      </c>
      <c r="B14" s="398" t="s">
        <v>115</v>
      </c>
      <c r="C14" s="408"/>
      <c r="D14" s="409"/>
      <c r="E14" s="409"/>
      <c r="F14" s="409"/>
      <c r="G14" s="410"/>
      <c r="H14" s="494"/>
      <c r="I14" s="489"/>
      <c r="J14" s="409"/>
      <c r="K14" s="489"/>
    </row>
    <row r="15" spans="1:11" ht="30.75" customHeight="1">
      <c r="A15" s="495" t="s">
        <v>11</v>
      </c>
      <c r="B15" s="411" t="s">
        <v>990</v>
      </c>
      <c r="C15" s="265" t="s">
        <v>116</v>
      </c>
      <c r="D15" s="503">
        <v>326161</v>
      </c>
      <c r="E15" s="503">
        <v>328508</v>
      </c>
      <c r="F15" s="503"/>
      <c r="G15" s="503">
        <v>339022</v>
      </c>
      <c r="H15" s="494">
        <f t="shared" si="0"/>
        <v>103.94314464328966</v>
      </c>
      <c r="I15" s="489">
        <f t="shared" si="1"/>
        <v>103.2005308850926</v>
      </c>
      <c r="J15" s="503">
        <v>343799</v>
      </c>
      <c r="K15" s="489">
        <f t="shared" si="2"/>
        <v>101.40905309979884</v>
      </c>
    </row>
    <row r="16" spans="1:11" ht="31.5">
      <c r="A16" s="495" t="s">
        <v>11</v>
      </c>
      <c r="B16" s="487" t="s">
        <v>1119</v>
      </c>
      <c r="C16" s="265" t="s">
        <v>116</v>
      </c>
      <c r="D16" s="412">
        <v>46</v>
      </c>
      <c r="E16" s="413"/>
      <c r="F16" s="496"/>
      <c r="G16" s="497">
        <v>67</v>
      </c>
      <c r="H16" s="494">
        <f t="shared" si="0"/>
        <v>145.65217391304347</v>
      </c>
      <c r="I16" s="489"/>
      <c r="J16" s="499"/>
      <c r="K16" s="494"/>
    </row>
    <row r="17" spans="1:11" ht="31.5">
      <c r="A17" s="495" t="s">
        <v>11</v>
      </c>
      <c r="B17" s="487" t="s">
        <v>117</v>
      </c>
      <c r="C17" s="404" t="s">
        <v>19</v>
      </c>
      <c r="D17" s="414">
        <v>52.16</v>
      </c>
      <c r="E17" s="415">
        <v>54.57</v>
      </c>
      <c r="F17" s="500"/>
      <c r="G17" s="500">
        <v>54.6</v>
      </c>
      <c r="H17" s="494">
        <f>G17-D17</f>
        <v>2.440000000000005</v>
      </c>
      <c r="I17" s="489">
        <f t="shared" si="1"/>
        <v>100.0549752611325</v>
      </c>
      <c r="J17" s="1315">
        <v>57</v>
      </c>
      <c r="K17" s="494">
        <f>J17-G17</f>
        <v>2.3999999999999986</v>
      </c>
    </row>
    <row r="18" spans="1:11" s="401" customFormat="1" ht="31.5">
      <c r="A18" s="399" t="s">
        <v>118</v>
      </c>
      <c r="B18" s="398" t="s">
        <v>453</v>
      </c>
      <c r="C18" s="408"/>
      <c r="D18" s="409"/>
      <c r="E18" s="416"/>
      <c r="F18" s="416"/>
      <c r="G18" s="416"/>
      <c r="H18" s="416"/>
      <c r="I18" s="494"/>
      <c r="J18" s="409"/>
      <c r="K18" s="494"/>
    </row>
    <row r="19" spans="1:11" s="406" customFormat="1" ht="15.75">
      <c r="A19" s="486" t="s">
        <v>11</v>
      </c>
      <c r="B19" s="487" t="s">
        <v>119</v>
      </c>
      <c r="C19" s="501" t="s">
        <v>122</v>
      </c>
      <c r="D19" s="502">
        <v>127667</v>
      </c>
      <c r="E19" s="503">
        <v>130668</v>
      </c>
      <c r="F19" s="504"/>
      <c r="G19" s="503">
        <f>E19</f>
        <v>130668</v>
      </c>
      <c r="H19" s="417">
        <f>G19/D19%</f>
        <v>102.35064660405585</v>
      </c>
      <c r="I19" s="417">
        <f>G19/E19%</f>
        <v>100</v>
      </c>
      <c r="J19" s="503">
        <v>133281</v>
      </c>
      <c r="K19" s="417">
        <f>J19/G19%</f>
        <v>101.99972449260721</v>
      </c>
    </row>
    <row r="20" spans="1:11" s="418" customFormat="1" ht="15.75">
      <c r="A20" s="505" t="s">
        <v>11</v>
      </c>
      <c r="B20" s="506" t="s">
        <v>120</v>
      </c>
      <c r="C20" s="501" t="s">
        <v>122</v>
      </c>
      <c r="D20" s="502">
        <v>47336</v>
      </c>
      <c r="E20" s="507">
        <v>44387</v>
      </c>
      <c r="F20" s="508"/>
      <c r="G20" s="503">
        <f>E20</f>
        <v>44387</v>
      </c>
      <c r="H20" s="417">
        <f>G20/D20%</f>
        <v>93.77006929187088</v>
      </c>
      <c r="I20" s="417">
        <f>G20/E20%</f>
        <v>100</v>
      </c>
      <c r="J20" s="507">
        <v>40873</v>
      </c>
      <c r="K20" s="417">
        <f>J20/G20%</f>
        <v>92.08326762340324</v>
      </c>
    </row>
    <row r="21" spans="1:11" s="418" customFormat="1" ht="15.75">
      <c r="A21" s="505" t="s">
        <v>11</v>
      </c>
      <c r="B21" s="506" t="s">
        <v>1362</v>
      </c>
      <c r="C21" s="501" t="s">
        <v>19</v>
      </c>
      <c r="D21" s="509">
        <f>D20/D19%</f>
        <v>37.0777099798695</v>
      </c>
      <c r="E21" s="509">
        <v>33.9692962316711</v>
      </c>
      <c r="F21" s="509"/>
      <c r="G21" s="1270">
        <f>G20/G19*100</f>
        <v>33.9692962316711</v>
      </c>
      <c r="H21" s="510">
        <f>G21-D21</f>
        <v>-3.1084137481984015</v>
      </c>
      <c r="I21" s="417">
        <f>G21-E21</f>
        <v>0</v>
      </c>
      <c r="J21" s="509">
        <f>J20/J19%</f>
        <v>30.66678671378516</v>
      </c>
      <c r="K21" s="417">
        <f>J21-G21</f>
        <v>-3.302509517885941</v>
      </c>
    </row>
    <row r="22" spans="1:11" s="418" customFormat="1" ht="15.75">
      <c r="A22" s="505" t="s">
        <v>11</v>
      </c>
      <c r="B22" s="511" t="s">
        <v>121</v>
      </c>
      <c r="C22" s="501" t="s">
        <v>452</v>
      </c>
      <c r="D22" s="1363">
        <v>16296</v>
      </c>
      <c r="E22" s="1364"/>
      <c r="F22" s="1365"/>
      <c r="G22" s="1363">
        <v>13540</v>
      </c>
      <c r="H22" s="1366">
        <f>G22/D22%</f>
        <v>83.08787432498772</v>
      </c>
      <c r="I22" s="417"/>
      <c r="J22" s="512"/>
      <c r="K22" s="417"/>
    </row>
    <row r="23" spans="1:11" s="418" customFormat="1" ht="15.75">
      <c r="A23" s="505" t="s">
        <v>11</v>
      </c>
      <c r="B23" s="506" t="s">
        <v>123</v>
      </c>
      <c r="C23" s="501" t="s">
        <v>19</v>
      </c>
      <c r="D23" s="1271">
        <f>D21-41.01</f>
        <v>-3.9322900201304947</v>
      </c>
      <c r="E23" s="509">
        <v>3.49</v>
      </c>
      <c r="F23" s="513"/>
      <c r="G23" s="1271">
        <f>G21-D21</f>
        <v>-3.1084137481984015</v>
      </c>
      <c r="H23" s="510">
        <f>G23-D23</f>
        <v>0.8238762719320931</v>
      </c>
      <c r="I23" s="417">
        <f>G23+E23</f>
        <v>0.38158625180159866</v>
      </c>
      <c r="J23" s="509">
        <f>J21-G21</f>
        <v>-3.302509517885941</v>
      </c>
      <c r="K23" s="417">
        <f>J23-G23</f>
        <v>-0.1940957696875394</v>
      </c>
    </row>
    <row r="24" spans="1:11" s="418" customFormat="1" ht="15.75">
      <c r="A24" s="505" t="s">
        <v>11</v>
      </c>
      <c r="B24" s="506" t="s">
        <v>124</v>
      </c>
      <c r="C24" s="501" t="s">
        <v>122</v>
      </c>
      <c r="D24" s="502">
        <v>12483</v>
      </c>
      <c r="E24" s="512">
        <v>7121</v>
      </c>
      <c r="F24" s="513"/>
      <c r="G24" s="512">
        <v>9945</v>
      </c>
      <c r="H24" s="417">
        <f>G24/D24%</f>
        <v>79.66834895457822</v>
      </c>
      <c r="I24" s="417">
        <f>G24/E24%</f>
        <v>139.65735149557648</v>
      </c>
      <c r="J24" s="512">
        <v>8435</v>
      </c>
      <c r="K24" s="417">
        <f>J24/G24%</f>
        <v>84.81649069884364</v>
      </c>
    </row>
    <row r="25" spans="1:11" s="418" customFormat="1" ht="15.75">
      <c r="A25" s="505" t="s">
        <v>11</v>
      </c>
      <c r="B25" s="506" t="s">
        <v>125</v>
      </c>
      <c r="C25" s="501" t="s">
        <v>19</v>
      </c>
      <c r="D25" s="514">
        <f>D24/D19%</f>
        <v>9.777781259056765</v>
      </c>
      <c r="E25" s="514">
        <v>5.449689288884807</v>
      </c>
      <c r="F25" s="514"/>
      <c r="G25" s="514">
        <f>G24/G19*100</f>
        <v>7.610891725594637</v>
      </c>
      <c r="H25" s="417">
        <f>G25-D25</f>
        <v>-2.166889533462127</v>
      </c>
      <c r="I25" s="417">
        <f>G25-E25</f>
        <v>2.1612024367098304</v>
      </c>
      <c r="J25" s="514">
        <f>J24/J19%</f>
        <v>6.328734028106032</v>
      </c>
      <c r="K25" s="417">
        <f>J25+H25</f>
        <v>4.161844494643905</v>
      </c>
    </row>
    <row r="26" spans="1:11" s="418" customFormat="1" ht="15.75">
      <c r="A26" s="505" t="s">
        <v>11</v>
      </c>
      <c r="B26" s="506" t="s">
        <v>126</v>
      </c>
      <c r="C26" s="501" t="s">
        <v>122</v>
      </c>
      <c r="D26" s="1272">
        <v>7285</v>
      </c>
      <c r="E26" s="515">
        <v>4074</v>
      </c>
      <c r="F26" s="516"/>
      <c r="G26" s="515">
        <v>6200</v>
      </c>
      <c r="H26" s="510">
        <f>G26/D26%</f>
        <v>85.10638297872342</v>
      </c>
      <c r="I26" s="417">
        <f>G26/E26%</f>
        <v>152.1845851742759</v>
      </c>
      <c r="J26" s="515">
        <v>6550</v>
      </c>
      <c r="K26" s="417">
        <f>J26/G26%</f>
        <v>105.64516129032258</v>
      </c>
    </row>
    <row r="27" spans="1:11" s="418" customFormat="1" ht="15.75">
      <c r="A27" s="505" t="s">
        <v>11</v>
      </c>
      <c r="B27" s="506" t="s">
        <v>1122</v>
      </c>
      <c r="C27" s="501" t="s">
        <v>122</v>
      </c>
      <c r="D27" s="1272">
        <v>3433</v>
      </c>
      <c r="E27" s="515">
        <v>550</v>
      </c>
      <c r="F27" s="513"/>
      <c r="G27" s="515">
        <v>3251</v>
      </c>
      <c r="H27" s="510">
        <f>G27/D27%</f>
        <v>94.69851441887562</v>
      </c>
      <c r="I27" s="417">
        <f>G27/E27%</f>
        <v>591.0909090909091</v>
      </c>
      <c r="J27" s="515">
        <v>3036</v>
      </c>
      <c r="K27" s="417">
        <f>J27/G27%</f>
        <v>93.38665026145802</v>
      </c>
    </row>
    <row r="28" spans="1:11" s="401" customFormat="1" ht="31.5">
      <c r="A28" s="399" t="s">
        <v>127</v>
      </c>
      <c r="B28" s="398" t="s">
        <v>128</v>
      </c>
      <c r="C28" s="419"/>
      <c r="D28" s="409"/>
      <c r="E28" s="420"/>
      <c r="F28" s="409"/>
      <c r="G28" s="409"/>
      <c r="H28" s="494"/>
      <c r="I28" s="494"/>
      <c r="J28" s="409"/>
      <c r="K28" s="494"/>
    </row>
    <row r="29" spans="1:11" s="401" customFormat="1" ht="15.75">
      <c r="A29" s="495" t="s">
        <v>11</v>
      </c>
      <c r="B29" s="487" t="s">
        <v>129</v>
      </c>
      <c r="C29" s="404" t="s">
        <v>83</v>
      </c>
      <c r="D29" s="517">
        <v>130</v>
      </c>
      <c r="E29" s="517">
        <v>130</v>
      </c>
      <c r="F29" s="517"/>
      <c r="G29" s="517">
        <v>130</v>
      </c>
      <c r="H29" s="517">
        <v>100</v>
      </c>
      <c r="I29" s="517">
        <v>100</v>
      </c>
      <c r="J29" s="517">
        <v>130</v>
      </c>
      <c r="K29" s="517">
        <v>100</v>
      </c>
    </row>
    <row r="30" spans="1:11" ht="15.75">
      <c r="A30" s="492"/>
      <c r="B30" s="421" t="s">
        <v>10</v>
      </c>
      <c r="C30" s="404"/>
      <c r="D30" s="517"/>
      <c r="E30" s="517"/>
      <c r="F30" s="517"/>
      <c r="G30" s="517"/>
      <c r="H30" s="494"/>
      <c r="I30" s="494"/>
      <c r="J30" s="494"/>
      <c r="K30" s="494"/>
    </row>
    <row r="31" spans="1:11" s="406" customFormat="1" ht="31.5">
      <c r="A31" s="422"/>
      <c r="B31" s="518" t="s">
        <v>130</v>
      </c>
      <c r="C31" s="404" t="s">
        <v>83</v>
      </c>
      <c r="D31" s="519">
        <v>103</v>
      </c>
      <c r="E31" s="519">
        <v>103</v>
      </c>
      <c r="F31" s="519"/>
      <c r="G31" s="519">
        <v>103</v>
      </c>
      <c r="H31" s="517">
        <v>100</v>
      </c>
      <c r="I31" s="517">
        <v>100</v>
      </c>
      <c r="J31" s="519">
        <v>103</v>
      </c>
      <c r="K31" s="423">
        <v>100</v>
      </c>
    </row>
    <row r="32" spans="1:11" s="406" customFormat="1" ht="15.75">
      <c r="A32" s="422"/>
      <c r="B32" s="518" t="s">
        <v>131</v>
      </c>
      <c r="C32" s="404"/>
      <c r="D32" s="519">
        <v>29</v>
      </c>
      <c r="E32" s="519">
        <v>29</v>
      </c>
      <c r="F32" s="519"/>
      <c r="G32" s="519">
        <v>29</v>
      </c>
      <c r="H32" s="517">
        <v>100</v>
      </c>
      <c r="I32" s="517">
        <v>100</v>
      </c>
      <c r="J32" s="519">
        <v>29</v>
      </c>
      <c r="K32" s="423">
        <v>100</v>
      </c>
    </row>
    <row r="33" spans="1:12" ht="15.75">
      <c r="A33" s="492"/>
      <c r="B33" s="518" t="s">
        <v>132</v>
      </c>
      <c r="C33" s="404" t="s">
        <v>83</v>
      </c>
      <c r="D33" s="427">
        <v>130</v>
      </c>
      <c r="E33" s="517">
        <v>130</v>
      </c>
      <c r="F33" s="517"/>
      <c r="G33" s="517">
        <v>130</v>
      </c>
      <c r="H33" s="517">
        <v>100</v>
      </c>
      <c r="I33" s="517">
        <v>100</v>
      </c>
      <c r="J33" s="517">
        <v>130</v>
      </c>
      <c r="K33" s="914">
        <v>100</v>
      </c>
      <c r="L33" s="1404"/>
    </row>
    <row r="34" spans="1:12" s="406" customFormat="1" ht="15.75">
      <c r="A34" s="492"/>
      <c r="B34" s="518" t="s">
        <v>133</v>
      </c>
      <c r="C34" s="424" t="s">
        <v>19</v>
      </c>
      <c r="D34" s="520">
        <v>100</v>
      </c>
      <c r="E34" s="593">
        <v>100</v>
      </c>
      <c r="F34" s="425"/>
      <c r="G34" s="593">
        <v>100</v>
      </c>
      <c r="H34" s="593">
        <v>100</v>
      </c>
      <c r="I34" s="593">
        <v>100</v>
      </c>
      <c r="J34" s="914">
        <v>100</v>
      </c>
      <c r="K34" s="914">
        <v>100</v>
      </c>
      <c r="L34" s="1404"/>
    </row>
    <row r="35" spans="1:11" ht="15.75">
      <c r="A35" s="492"/>
      <c r="B35" s="518" t="s">
        <v>134</v>
      </c>
      <c r="C35" s="404" t="s">
        <v>83</v>
      </c>
      <c r="D35" s="427">
        <v>130</v>
      </c>
      <c r="E35" s="427">
        <v>130</v>
      </c>
      <c r="F35" s="427"/>
      <c r="G35" s="596">
        <v>130</v>
      </c>
      <c r="H35" s="595">
        <v>130</v>
      </c>
      <c r="I35" s="595">
        <v>130</v>
      </c>
      <c r="J35" s="596">
        <v>129</v>
      </c>
      <c r="K35" s="597">
        <f>J35/G35%</f>
        <v>99.23076923076923</v>
      </c>
    </row>
    <row r="36" spans="1:11" s="406" customFormat="1" ht="15.75">
      <c r="A36" s="492"/>
      <c r="B36" s="518" t="s">
        <v>135</v>
      </c>
      <c r="C36" s="424" t="s">
        <v>19</v>
      </c>
      <c r="D36" s="520">
        <v>100</v>
      </c>
      <c r="E36" s="520">
        <v>100</v>
      </c>
      <c r="F36" s="520"/>
      <c r="G36" s="596">
        <v>100</v>
      </c>
      <c r="H36" s="595">
        <v>100</v>
      </c>
      <c r="I36" s="595">
        <v>100</v>
      </c>
      <c r="J36" s="596">
        <v>100</v>
      </c>
      <c r="K36" s="595">
        <f aca="true" t="shared" si="3" ref="K36:K48">J36/G36%</f>
        <v>100</v>
      </c>
    </row>
    <row r="37" spans="1:11" ht="15.75">
      <c r="A37" s="492"/>
      <c r="B37" s="518" t="s">
        <v>1329</v>
      </c>
      <c r="C37" s="404" t="s">
        <v>136</v>
      </c>
      <c r="D37" s="428">
        <v>57</v>
      </c>
      <c r="E37" s="428">
        <v>59</v>
      </c>
      <c r="F37" s="428"/>
      <c r="G37" s="594">
        <v>66</v>
      </c>
      <c r="H37" s="597">
        <f>G37/D37*100</f>
        <v>115.78947368421053</v>
      </c>
      <c r="I37" s="597">
        <f>G37/E37*100</f>
        <v>111.86440677966101</v>
      </c>
      <c r="J37" s="594">
        <v>78</v>
      </c>
      <c r="K37" s="597">
        <f t="shared" si="3"/>
        <v>118.18181818181817</v>
      </c>
    </row>
    <row r="38" spans="1:11" ht="15.75">
      <c r="A38" s="492"/>
      <c r="B38" s="518" t="s">
        <v>137</v>
      </c>
      <c r="C38" s="404" t="s">
        <v>83</v>
      </c>
      <c r="D38" s="429">
        <v>95</v>
      </c>
      <c r="E38" s="429">
        <v>92</v>
      </c>
      <c r="F38" s="429"/>
      <c r="G38" s="429">
        <v>99</v>
      </c>
      <c r="H38" s="597">
        <f aca="true" t="shared" si="4" ref="H38:H48">G38/D38*100</f>
        <v>104.21052631578947</v>
      </c>
      <c r="I38" s="597">
        <f aca="true" t="shared" si="5" ref="I38:I48">G38/E38*100</f>
        <v>107.6086956521739</v>
      </c>
      <c r="J38" s="417">
        <v>101</v>
      </c>
      <c r="K38" s="597">
        <f t="shared" si="3"/>
        <v>102.02020202020202</v>
      </c>
    </row>
    <row r="39" spans="1:11" ht="15.75">
      <c r="A39" s="492"/>
      <c r="B39" s="518" t="s">
        <v>138</v>
      </c>
      <c r="C39" s="424" t="s">
        <v>19</v>
      </c>
      <c r="D39" s="417">
        <v>81.9</v>
      </c>
      <c r="E39" s="417">
        <v>79.31</v>
      </c>
      <c r="F39" s="417"/>
      <c r="G39" s="417">
        <v>85.34</v>
      </c>
      <c r="H39" s="597">
        <f t="shared" si="4"/>
        <v>104.20024420024421</v>
      </c>
      <c r="I39" s="597">
        <f t="shared" si="5"/>
        <v>107.60307653511536</v>
      </c>
      <c r="J39" s="417">
        <v>87</v>
      </c>
      <c r="K39" s="597">
        <f t="shared" si="3"/>
        <v>101.94516053433325</v>
      </c>
    </row>
    <row r="40" spans="1:11" ht="15.75">
      <c r="A40" s="492"/>
      <c r="B40" s="518" t="s">
        <v>139</v>
      </c>
      <c r="C40" s="404" t="s">
        <v>87</v>
      </c>
      <c r="D40" s="429">
        <v>35</v>
      </c>
      <c r="E40" s="182">
        <v>36</v>
      </c>
      <c r="F40" s="182"/>
      <c r="G40" s="417">
        <v>36</v>
      </c>
      <c r="H40" s="597">
        <f t="shared" si="4"/>
        <v>102.85714285714285</v>
      </c>
      <c r="I40" s="597">
        <f t="shared" si="5"/>
        <v>100</v>
      </c>
      <c r="J40" s="417">
        <v>36</v>
      </c>
      <c r="K40" s="597">
        <f t="shared" si="3"/>
        <v>100</v>
      </c>
    </row>
    <row r="41" spans="1:11" ht="15.75">
      <c r="A41" s="492"/>
      <c r="B41" s="518" t="s">
        <v>140</v>
      </c>
      <c r="C41" s="424" t="s">
        <v>19</v>
      </c>
      <c r="D41" s="417">
        <v>30.17</v>
      </c>
      <c r="E41" s="417">
        <v>31.03</v>
      </c>
      <c r="F41" s="417"/>
      <c r="G41" s="417">
        <v>31.03</v>
      </c>
      <c r="H41" s="597">
        <f t="shared" si="4"/>
        <v>102.85051375538615</v>
      </c>
      <c r="I41" s="597">
        <f t="shared" si="5"/>
        <v>100</v>
      </c>
      <c r="J41" s="417">
        <v>31.03</v>
      </c>
      <c r="K41" s="597">
        <f t="shared" si="3"/>
        <v>100</v>
      </c>
    </row>
    <row r="42" spans="1:12" ht="15.75">
      <c r="A42" s="495" t="s">
        <v>11</v>
      </c>
      <c r="B42" s="487" t="s">
        <v>141</v>
      </c>
      <c r="C42" s="404" t="s">
        <v>122</v>
      </c>
      <c r="D42" s="429">
        <v>114761</v>
      </c>
      <c r="E42" s="173">
        <v>115000</v>
      </c>
      <c r="F42" s="173"/>
      <c r="G42" s="173">
        <v>117947</v>
      </c>
      <c r="H42" s="597">
        <f t="shared" si="4"/>
        <v>102.77620445970321</v>
      </c>
      <c r="I42" s="597">
        <f t="shared" si="5"/>
        <v>102.56260869565217</v>
      </c>
      <c r="J42" s="173">
        <v>118540</v>
      </c>
      <c r="K42" s="597">
        <f t="shared" si="3"/>
        <v>100.50276819249324</v>
      </c>
      <c r="L42" s="430"/>
    </row>
    <row r="43" spans="1:12" ht="15.75">
      <c r="A43" s="495" t="s">
        <v>11</v>
      </c>
      <c r="B43" s="487" t="s">
        <v>142</v>
      </c>
      <c r="C43" s="404" t="s">
        <v>19</v>
      </c>
      <c r="D43" s="417">
        <v>90</v>
      </c>
      <c r="E43" s="174">
        <v>90.52</v>
      </c>
      <c r="F43" s="174"/>
      <c r="G43" s="174">
        <v>90.52</v>
      </c>
      <c r="H43" s="597">
        <f t="shared" si="4"/>
        <v>100.57777777777777</v>
      </c>
      <c r="I43" s="597">
        <f t="shared" si="5"/>
        <v>100</v>
      </c>
      <c r="J43" s="174">
        <v>92</v>
      </c>
      <c r="K43" s="597">
        <f t="shared" si="3"/>
        <v>101.63499779054352</v>
      </c>
      <c r="L43" s="430"/>
    </row>
    <row r="44" spans="1:11" ht="15.75" hidden="1">
      <c r="A44" s="495" t="s">
        <v>11</v>
      </c>
      <c r="B44" s="487" t="s">
        <v>432</v>
      </c>
      <c r="C44" s="404" t="s">
        <v>122</v>
      </c>
      <c r="D44" s="521"/>
      <c r="E44" s="431"/>
      <c r="F44" s="519"/>
      <c r="G44" s="521"/>
      <c r="H44" s="597"/>
      <c r="I44" s="597"/>
      <c r="J44" s="519"/>
      <c r="K44" s="597"/>
    </row>
    <row r="45" spans="1:11" ht="15.75">
      <c r="A45" s="495" t="s">
        <v>11</v>
      </c>
      <c r="B45" s="487" t="s">
        <v>433</v>
      </c>
      <c r="C45" s="404" t="s">
        <v>19</v>
      </c>
      <c r="D45" s="432"/>
      <c r="E45" s="415"/>
      <c r="F45" s="519"/>
      <c r="G45" s="519"/>
      <c r="H45" s="597"/>
      <c r="I45" s="597"/>
      <c r="J45" s="519"/>
      <c r="K45" s="597"/>
    </row>
    <row r="46" spans="1:11" ht="15.75">
      <c r="A46" s="492"/>
      <c r="B46" s="421" t="s">
        <v>66</v>
      </c>
      <c r="C46" s="404"/>
      <c r="D46" s="431"/>
      <c r="E46" s="414"/>
      <c r="F46" s="519"/>
      <c r="G46" s="519"/>
      <c r="H46" s="597"/>
      <c r="I46" s="597"/>
      <c r="J46" s="519"/>
      <c r="K46" s="597"/>
    </row>
    <row r="47" spans="1:11" ht="15.75">
      <c r="A47" s="492"/>
      <c r="B47" s="487" t="s">
        <v>143</v>
      </c>
      <c r="C47" s="404" t="s">
        <v>19</v>
      </c>
      <c r="D47" s="432">
        <v>99</v>
      </c>
      <c r="E47" s="432">
        <v>99.5</v>
      </c>
      <c r="F47" s="500"/>
      <c r="G47" s="500">
        <v>99.5</v>
      </c>
      <c r="H47" s="597">
        <f t="shared" si="4"/>
        <v>100.50505050505049</v>
      </c>
      <c r="I47" s="597">
        <f t="shared" si="5"/>
        <v>100</v>
      </c>
      <c r="J47" s="500">
        <v>99.6</v>
      </c>
      <c r="K47" s="597">
        <f t="shared" si="3"/>
        <v>100.10050251256281</v>
      </c>
    </row>
    <row r="48" spans="1:11" ht="15.75">
      <c r="A48" s="492"/>
      <c r="B48" s="487" t="s">
        <v>144</v>
      </c>
      <c r="C48" s="404" t="s">
        <v>19</v>
      </c>
      <c r="D48" s="432">
        <v>81.97</v>
      </c>
      <c r="E48" s="414">
        <v>80.65</v>
      </c>
      <c r="F48" s="414"/>
      <c r="G48" s="522">
        <v>82.7</v>
      </c>
      <c r="H48" s="597">
        <f t="shared" si="4"/>
        <v>100.89056972062951</v>
      </c>
      <c r="I48" s="597">
        <f t="shared" si="5"/>
        <v>102.54184748915065</v>
      </c>
      <c r="J48" s="522">
        <v>83.43</v>
      </c>
      <c r="K48" s="597">
        <f t="shared" si="3"/>
        <v>100.88270858524788</v>
      </c>
    </row>
    <row r="49" spans="1:11" s="401" customFormat="1" ht="15.75">
      <c r="A49" s="399" t="s">
        <v>145</v>
      </c>
      <c r="B49" s="398" t="s">
        <v>146</v>
      </c>
      <c r="C49" s="419"/>
      <c r="D49" s="432"/>
      <c r="E49" s="409"/>
      <c r="F49" s="409"/>
      <c r="G49" s="409"/>
      <c r="H49" s="517"/>
      <c r="I49" s="517"/>
      <c r="J49" s="409"/>
      <c r="K49" s="517"/>
    </row>
    <row r="50" spans="1:14" s="401" customFormat="1" ht="15.75">
      <c r="A50" s="433" t="s">
        <v>11</v>
      </c>
      <c r="B50" s="411" t="s">
        <v>147</v>
      </c>
      <c r="C50" s="434" t="s">
        <v>19</v>
      </c>
      <c r="D50" s="435">
        <v>99.4</v>
      </c>
      <c r="E50" s="435">
        <v>98.7</v>
      </c>
      <c r="F50" s="435"/>
      <c r="G50" s="435">
        <v>98.7</v>
      </c>
      <c r="H50" s="598">
        <f>G50/D50*100</f>
        <v>99.29577464788733</v>
      </c>
      <c r="I50" s="598">
        <f aca="true" t="shared" si="6" ref="I50:I55">+G50/E50*100</f>
        <v>100</v>
      </c>
      <c r="J50" s="599">
        <v>98.8</v>
      </c>
      <c r="K50" s="598">
        <f aca="true" t="shared" si="7" ref="K50:K55">+J50/G50*100</f>
        <v>100.10131712259371</v>
      </c>
      <c r="N50" s="1313"/>
    </row>
    <row r="51" spans="1:11" s="443" customFormat="1" ht="17.25" customHeight="1" hidden="1">
      <c r="A51" s="436" t="s">
        <v>11</v>
      </c>
      <c r="B51" s="437" t="s">
        <v>991</v>
      </c>
      <c r="C51" s="438" t="s">
        <v>19</v>
      </c>
      <c r="D51" s="439"/>
      <c r="E51" s="440">
        <v>98.17</v>
      </c>
      <c r="F51" s="441"/>
      <c r="G51" s="442"/>
      <c r="H51" s="426"/>
      <c r="I51" s="598"/>
      <c r="J51" s="426"/>
      <c r="K51" s="598"/>
    </row>
    <row r="52" spans="1:11" s="443" customFormat="1" ht="17.25" customHeight="1" hidden="1">
      <c r="A52" s="436" t="s">
        <v>11</v>
      </c>
      <c r="B52" s="437" t="s">
        <v>992</v>
      </c>
      <c r="C52" s="438" t="s">
        <v>19</v>
      </c>
      <c r="D52" s="439"/>
      <c r="E52" s="444">
        <v>97.54</v>
      </c>
      <c r="F52" s="441"/>
      <c r="G52" s="442"/>
      <c r="H52" s="426"/>
      <c r="I52" s="598"/>
      <c r="J52" s="426"/>
      <c r="K52" s="598"/>
    </row>
    <row r="53" spans="1:11" s="443" customFormat="1" ht="17.25" customHeight="1" hidden="1">
      <c r="A53" s="436" t="s">
        <v>11</v>
      </c>
      <c r="B53" s="437" t="s">
        <v>993</v>
      </c>
      <c r="C53" s="438"/>
      <c r="D53" s="439"/>
      <c r="E53" s="444">
        <v>0.78</v>
      </c>
      <c r="F53" s="441"/>
      <c r="G53" s="442"/>
      <c r="H53" s="426"/>
      <c r="I53" s="598"/>
      <c r="J53" s="426"/>
      <c r="K53" s="598"/>
    </row>
    <row r="54" spans="1:11" s="446" customFormat="1" ht="31.5">
      <c r="A54" s="445" t="s">
        <v>11</v>
      </c>
      <c r="B54" s="411" t="s">
        <v>148</v>
      </c>
      <c r="C54" s="434" t="s">
        <v>149</v>
      </c>
      <c r="D54" s="523">
        <v>32.1</v>
      </c>
      <c r="E54" s="523">
        <v>32</v>
      </c>
      <c r="F54" s="523"/>
      <c r="G54" s="523">
        <v>31.2</v>
      </c>
      <c r="H54" s="598">
        <f>G54/D54%</f>
        <v>97.19626168224299</v>
      </c>
      <c r="I54" s="598">
        <f t="shared" si="6"/>
        <v>97.5</v>
      </c>
      <c r="J54" s="600">
        <v>31.7</v>
      </c>
      <c r="K54" s="598">
        <f t="shared" si="7"/>
        <v>101.6025641025641</v>
      </c>
    </row>
    <row r="55" spans="1:11" s="401" customFormat="1" ht="15.75">
      <c r="A55" s="445" t="s">
        <v>11</v>
      </c>
      <c r="B55" s="411" t="s">
        <v>150</v>
      </c>
      <c r="C55" s="434" t="s">
        <v>151</v>
      </c>
      <c r="D55" s="524">
        <v>12.45</v>
      </c>
      <c r="E55" s="524">
        <v>12.5</v>
      </c>
      <c r="F55" s="524"/>
      <c r="G55" s="524">
        <v>12.2</v>
      </c>
      <c r="H55" s="598">
        <f>G55/D55%</f>
        <v>97.99196787148594</v>
      </c>
      <c r="I55" s="598">
        <f t="shared" si="6"/>
        <v>97.6</v>
      </c>
      <c r="J55" s="601">
        <v>12.33</v>
      </c>
      <c r="K55" s="598">
        <f t="shared" si="7"/>
        <v>101.06557377049181</v>
      </c>
    </row>
    <row r="56" spans="1:11" s="401" customFormat="1" ht="31.5">
      <c r="A56" s="445" t="s">
        <v>11</v>
      </c>
      <c r="B56" s="411" t="s">
        <v>152</v>
      </c>
      <c r="C56" s="434" t="s">
        <v>19</v>
      </c>
      <c r="D56" s="525">
        <v>87.7</v>
      </c>
      <c r="E56" s="525">
        <v>96.9</v>
      </c>
      <c r="F56" s="525"/>
      <c r="G56" s="526">
        <v>96.9</v>
      </c>
      <c r="H56" s="598">
        <f>G56-D56</f>
        <v>9.200000000000003</v>
      </c>
      <c r="I56" s="598">
        <f>G56-E56</f>
        <v>0</v>
      </c>
      <c r="J56" s="447">
        <v>97.7</v>
      </c>
      <c r="K56" s="598">
        <f>J56-G56</f>
        <v>0.7999999999999972</v>
      </c>
    </row>
    <row r="57" spans="1:11" ht="15.75">
      <c r="A57" s="445" t="s">
        <v>11</v>
      </c>
      <c r="B57" s="411" t="s">
        <v>153</v>
      </c>
      <c r="C57" s="434" t="s">
        <v>19</v>
      </c>
      <c r="D57" s="527">
        <v>64.6</v>
      </c>
      <c r="E57" s="527">
        <v>70.8</v>
      </c>
      <c r="F57" s="527"/>
      <c r="G57" s="527">
        <v>72.3</v>
      </c>
      <c r="H57" s="598">
        <f>G57-D57</f>
        <v>7.700000000000003</v>
      </c>
      <c r="I57" s="598">
        <f>G57-E57</f>
        <v>1.5</v>
      </c>
      <c r="J57" s="602">
        <v>79.8</v>
      </c>
      <c r="K57" s="598">
        <f>J57-G57</f>
        <v>7.5</v>
      </c>
    </row>
    <row r="58" spans="1:11" ht="15.75">
      <c r="A58" s="448" t="s">
        <v>11</v>
      </c>
      <c r="B58" s="449" t="s">
        <v>154</v>
      </c>
      <c r="C58" s="434" t="s">
        <v>155</v>
      </c>
      <c r="D58" s="528">
        <v>29.2</v>
      </c>
      <c r="E58" s="529">
        <v>23</v>
      </c>
      <c r="F58" s="528"/>
      <c r="G58" s="528">
        <v>29.9</v>
      </c>
      <c r="H58" s="598">
        <f>G58-D58</f>
        <v>0.6999999999999993</v>
      </c>
      <c r="I58" s="598">
        <f>G58-E58</f>
        <v>6.899999999999999</v>
      </c>
      <c r="J58" s="603">
        <v>23</v>
      </c>
      <c r="K58" s="598">
        <f>J58-G58</f>
        <v>-6.899999999999999</v>
      </c>
    </row>
    <row r="59" spans="1:11" ht="15.75">
      <c r="A59" s="445" t="s">
        <v>11</v>
      </c>
      <c r="B59" s="449" t="s">
        <v>456</v>
      </c>
      <c r="C59" s="434" t="s">
        <v>155</v>
      </c>
      <c r="D59" s="530">
        <v>34.7</v>
      </c>
      <c r="E59" s="531">
        <v>32</v>
      </c>
      <c r="F59" s="531"/>
      <c r="G59" s="531">
        <v>38</v>
      </c>
      <c r="H59" s="598">
        <f>G59-D59</f>
        <v>3.299999999999997</v>
      </c>
      <c r="I59" s="598">
        <f>G59-E59</f>
        <v>6</v>
      </c>
      <c r="J59" s="604">
        <v>32</v>
      </c>
      <c r="K59" s="598">
        <f>J59-G59</f>
        <v>-6</v>
      </c>
    </row>
    <row r="60" spans="1:11" ht="31.5">
      <c r="A60" s="448" t="s">
        <v>11</v>
      </c>
      <c r="B60" s="411" t="s">
        <v>156</v>
      </c>
      <c r="C60" s="434" t="s">
        <v>19</v>
      </c>
      <c r="D60" s="532">
        <v>16.63</v>
      </c>
      <c r="E60" s="532">
        <v>16.2</v>
      </c>
      <c r="F60" s="532"/>
      <c r="G60" s="532">
        <v>16.2</v>
      </c>
      <c r="H60" s="598">
        <f>G60-D60</f>
        <v>-0.4299999999999997</v>
      </c>
      <c r="I60" s="598">
        <f>G60-E60</f>
        <v>0</v>
      </c>
      <c r="J60" s="605">
        <v>16</v>
      </c>
      <c r="K60" s="598">
        <f>J60-G60</f>
        <v>-0.1999999999999993</v>
      </c>
    </row>
    <row r="61" spans="1:11" ht="31.5">
      <c r="A61" s="448" t="s">
        <v>11</v>
      </c>
      <c r="B61" s="487" t="s">
        <v>423</v>
      </c>
      <c r="C61" s="434" t="s">
        <v>157</v>
      </c>
      <c r="D61" s="493">
        <v>93</v>
      </c>
      <c r="E61" s="493">
        <v>98</v>
      </c>
      <c r="F61" s="493"/>
      <c r="G61" s="493">
        <v>98</v>
      </c>
      <c r="H61" s="498">
        <f>G61/D61*100</f>
        <v>105.3763440860215</v>
      </c>
      <c r="I61" s="450">
        <f>100</f>
        <v>100</v>
      </c>
      <c r="J61" s="493">
        <v>104</v>
      </c>
      <c r="K61" s="498">
        <f>J61/G61*100</f>
        <v>106.12244897959184</v>
      </c>
    </row>
    <row r="62" spans="1:11" ht="31.5">
      <c r="A62" s="445" t="s">
        <v>11</v>
      </c>
      <c r="B62" s="487" t="s">
        <v>424</v>
      </c>
      <c r="C62" s="451" t="s">
        <v>19</v>
      </c>
      <c r="D62" s="450">
        <v>71.53846153846153</v>
      </c>
      <c r="E62" s="450">
        <v>75.38461538461539</v>
      </c>
      <c r="F62" s="452"/>
      <c r="G62" s="450">
        <v>75.38461538461539</v>
      </c>
      <c r="H62" s="450">
        <f>G62-D62</f>
        <v>3.846153846153854</v>
      </c>
      <c r="I62" s="450">
        <f>G62-E62</f>
        <v>0</v>
      </c>
      <c r="J62" s="450">
        <v>80</v>
      </c>
      <c r="K62" s="498">
        <f>J62-G62</f>
        <v>4.615384615384613</v>
      </c>
    </row>
    <row r="63" spans="2:3" ht="15.75">
      <c r="B63" s="533"/>
      <c r="C63" s="534"/>
    </row>
    <row r="64" spans="2:3" ht="15.75">
      <c r="B64" s="533"/>
      <c r="C64" s="534"/>
    </row>
    <row r="65" spans="2:3" ht="15.75">
      <c r="B65" s="533"/>
      <c r="C65" s="534"/>
    </row>
    <row r="66" spans="2:3" ht="15.75">
      <c r="B66" s="533"/>
      <c r="C66" s="534"/>
    </row>
    <row r="67" spans="2:3" ht="15.75">
      <c r="B67" s="533"/>
      <c r="C67" s="534"/>
    </row>
    <row r="68" spans="2:3" ht="15.75">
      <c r="B68" s="533"/>
      <c r="C68" s="534"/>
    </row>
    <row r="69" ht="15.75">
      <c r="C69" s="534"/>
    </row>
  </sheetData>
  <sheetProtection/>
  <mergeCells count="11">
    <mergeCell ref="J5:J6"/>
    <mergeCell ref="K5:K6"/>
    <mergeCell ref="L33:L34"/>
    <mergeCell ref="A1:K1"/>
    <mergeCell ref="A2:K2"/>
    <mergeCell ref="A3:K3"/>
    <mergeCell ref="A5:A6"/>
    <mergeCell ref="B5:B6"/>
    <mergeCell ref="C5:C6"/>
    <mergeCell ref="D5:D6"/>
    <mergeCell ref="E5:I5"/>
  </mergeCells>
  <printOptions horizontalCentered="1"/>
  <pageMargins left="0.3937007874015748" right="0.1968503937007874" top="0.42" bottom="0.34" header="0.31496062992125984" footer="0.2"/>
  <pageSetup firstPageNumber="1" useFirstPageNumber="1" fitToHeight="0" fitToWidth="1" horizontalDpi="600" verticalDpi="600" orientation="landscape" paperSize="9" r:id="rId1"/>
  <headerFooter differentFirst="1">
    <oddFooter>&amp;R&amp;P</oddFooter>
  </headerFooter>
</worksheet>
</file>

<file path=xl/worksheets/sheet6.xml><?xml version="1.0" encoding="utf-8"?>
<worksheet xmlns="http://schemas.openxmlformats.org/spreadsheetml/2006/main" xmlns:r="http://schemas.openxmlformats.org/officeDocument/2006/relationships">
  <sheetPr>
    <tabColor rgb="FFFF0000"/>
  </sheetPr>
  <dimension ref="A1:IV88"/>
  <sheetViews>
    <sheetView view="pageBreakPreview" zoomScaleSheetLayoutView="100" zoomScalePageLayoutView="0" workbookViewId="0" topLeftCell="A1">
      <pane xSplit="2" ySplit="7" topLeftCell="C17" activePane="bottomRight" state="frozen"/>
      <selection pane="topLeft" activeCell="O21" sqref="O21"/>
      <selection pane="topRight" activeCell="O21" sqref="O21"/>
      <selection pane="bottomLeft" activeCell="O21" sqref="O21"/>
      <selection pane="bottomRight" activeCell="J18" sqref="J18"/>
    </sheetView>
  </sheetViews>
  <sheetFormatPr defaultColWidth="8.625" defaultRowHeight="15.75"/>
  <cols>
    <col min="1" max="1" width="4.125" style="212" customWidth="1"/>
    <col min="2" max="2" width="23.375" style="220" customWidth="1"/>
    <col min="3" max="3" width="7.625" style="212" customWidth="1"/>
    <col min="4" max="6" width="7.75390625" style="212" customWidth="1"/>
    <col min="7" max="8" width="6.875" style="212" customWidth="1"/>
    <col min="9" max="9" width="8.00390625" style="212" customWidth="1"/>
    <col min="10" max="16" width="6.875" style="212" customWidth="1"/>
    <col min="17" max="17" width="6.125" style="212" customWidth="1"/>
    <col min="18" max="18" width="6.00390625" style="212" customWidth="1"/>
    <col min="19" max="16384" width="8.625" style="212" customWidth="1"/>
  </cols>
  <sheetData>
    <row r="1" spans="1:2" s="211" customFormat="1" ht="16.5" customHeight="1">
      <c r="A1" s="209" t="s">
        <v>554</v>
      </c>
      <c r="B1" s="210"/>
    </row>
    <row r="2" spans="1:18" s="214" customFormat="1" ht="19.5" customHeight="1">
      <c r="A2" s="1413" t="s">
        <v>1293</v>
      </c>
      <c r="B2" s="1413"/>
      <c r="C2" s="1413"/>
      <c r="D2" s="1413"/>
      <c r="E2" s="1413"/>
      <c r="F2" s="1413"/>
      <c r="G2" s="1413"/>
      <c r="H2" s="1413"/>
      <c r="I2" s="1413"/>
      <c r="J2" s="1413"/>
      <c r="K2" s="1413"/>
      <c r="L2" s="1413"/>
      <c r="M2" s="1413"/>
      <c r="N2" s="1413"/>
      <c r="O2" s="1413"/>
      <c r="P2" s="1413"/>
      <c r="Q2" s="1413"/>
      <c r="R2" s="1413"/>
    </row>
    <row r="3" spans="1:256" s="213" customFormat="1" ht="21.75" customHeight="1">
      <c r="A3" s="1414" t="s">
        <v>1399</v>
      </c>
      <c r="B3" s="1414"/>
      <c r="C3" s="1414"/>
      <c r="D3" s="1414"/>
      <c r="E3" s="1414"/>
      <c r="F3" s="1414"/>
      <c r="G3" s="1414"/>
      <c r="H3" s="1414"/>
      <c r="I3" s="1414"/>
      <c r="J3" s="1414"/>
      <c r="K3" s="1414"/>
      <c r="L3" s="1414"/>
      <c r="M3" s="1414"/>
      <c r="N3" s="1414"/>
      <c r="O3" s="1414"/>
      <c r="P3" s="1414"/>
      <c r="Q3" s="1414"/>
      <c r="R3" s="1414"/>
      <c r="Y3" s="1412" t="s">
        <v>555</v>
      </c>
      <c r="Z3" s="1412"/>
      <c r="AA3" s="1412"/>
      <c r="AB3" s="1412"/>
      <c r="AC3" s="1412"/>
      <c r="AD3" s="1412"/>
      <c r="AE3" s="1412"/>
      <c r="AF3" s="1412"/>
      <c r="AG3" s="1412" t="s">
        <v>555</v>
      </c>
      <c r="AH3" s="1412"/>
      <c r="AI3" s="1412"/>
      <c r="AJ3" s="1412"/>
      <c r="AK3" s="1412"/>
      <c r="AL3" s="1412"/>
      <c r="AM3" s="1412"/>
      <c r="AN3" s="1412"/>
      <c r="AO3" s="1412" t="s">
        <v>555</v>
      </c>
      <c r="AP3" s="1412"/>
      <c r="AQ3" s="1412"/>
      <c r="AR3" s="1412"/>
      <c r="AS3" s="1412"/>
      <c r="AT3" s="1412"/>
      <c r="AU3" s="1412"/>
      <c r="AV3" s="1412"/>
      <c r="AW3" s="1412" t="s">
        <v>555</v>
      </c>
      <c r="AX3" s="1412"/>
      <c r="AY3" s="1412"/>
      <c r="AZ3" s="1412"/>
      <c r="BA3" s="1412"/>
      <c r="BB3" s="1412"/>
      <c r="BC3" s="1412"/>
      <c r="BD3" s="1412"/>
      <c r="BE3" s="1412" t="s">
        <v>555</v>
      </c>
      <c r="BF3" s="1412"/>
      <c r="BG3" s="1412"/>
      <c r="BH3" s="1412"/>
      <c r="BI3" s="1412"/>
      <c r="BJ3" s="1412"/>
      <c r="BK3" s="1412"/>
      <c r="BL3" s="1412"/>
      <c r="BM3" s="1412" t="s">
        <v>555</v>
      </c>
      <c r="BN3" s="1412"/>
      <c r="BO3" s="1412"/>
      <c r="BP3" s="1412"/>
      <c r="BQ3" s="1412"/>
      <c r="BR3" s="1412"/>
      <c r="BS3" s="1412"/>
      <c r="BT3" s="1412"/>
      <c r="BU3" s="1412" t="s">
        <v>555</v>
      </c>
      <c r="BV3" s="1412"/>
      <c r="BW3" s="1412"/>
      <c r="BX3" s="1412"/>
      <c r="BY3" s="1412"/>
      <c r="BZ3" s="1412"/>
      <c r="CA3" s="1412"/>
      <c r="CB3" s="1412"/>
      <c r="CC3" s="1412" t="s">
        <v>555</v>
      </c>
      <c r="CD3" s="1412"/>
      <c r="CE3" s="1412"/>
      <c r="CF3" s="1412"/>
      <c r="CG3" s="1412"/>
      <c r="CH3" s="1412"/>
      <c r="CI3" s="1412"/>
      <c r="CJ3" s="1412"/>
      <c r="CK3" s="1412" t="s">
        <v>555</v>
      </c>
      <c r="CL3" s="1412"/>
      <c r="CM3" s="1412"/>
      <c r="CN3" s="1412"/>
      <c r="CO3" s="1412"/>
      <c r="CP3" s="1412"/>
      <c r="CQ3" s="1412"/>
      <c r="CR3" s="1412"/>
      <c r="CS3" s="1412" t="s">
        <v>555</v>
      </c>
      <c r="CT3" s="1412"/>
      <c r="CU3" s="1412"/>
      <c r="CV3" s="1412"/>
      <c r="CW3" s="1412"/>
      <c r="CX3" s="1412"/>
      <c r="CY3" s="1412"/>
      <c r="CZ3" s="1412"/>
      <c r="DA3" s="1412" t="s">
        <v>555</v>
      </c>
      <c r="DB3" s="1412"/>
      <c r="DC3" s="1412"/>
      <c r="DD3" s="1412"/>
      <c r="DE3" s="1412"/>
      <c r="DF3" s="1412"/>
      <c r="DG3" s="1412"/>
      <c r="DH3" s="1412"/>
      <c r="DI3" s="1412" t="s">
        <v>555</v>
      </c>
      <c r="DJ3" s="1412"/>
      <c r="DK3" s="1412"/>
      <c r="DL3" s="1412"/>
      <c r="DM3" s="1412"/>
      <c r="DN3" s="1412"/>
      <c r="DO3" s="1412"/>
      <c r="DP3" s="1412"/>
      <c r="DQ3" s="1412" t="s">
        <v>555</v>
      </c>
      <c r="DR3" s="1412"/>
      <c r="DS3" s="1412"/>
      <c r="DT3" s="1412"/>
      <c r="DU3" s="1412"/>
      <c r="DV3" s="1412"/>
      <c r="DW3" s="1412"/>
      <c r="DX3" s="1412"/>
      <c r="DY3" s="1412" t="s">
        <v>555</v>
      </c>
      <c r="DZ3" s="1412"/>
      <c r="EA3" s="1412"/>
      <c r="EB3" s="1412"/>
      <c r="EC3" s="1412"/>
      <c r="ED3" s="1412"/>
      <c r="EE3" s="1412"/>
      <c r="EF3" s="1412"/>
      <c r="EG3" s="1412" t="s">
        <v>555</v>
      </c>
      <c r="EH3" s="1412"/>
      <c r="EI3" s="1412"/>
      <c r="EJ3" s="1412"/>
      <c r="EK3" s="1412"/>
      <c r="EL3" s="1412"/>
      <c r="EM3" s="1412"/>
      <c r="EN3" s="1412"/>
      <c r="EO3" s="1412" t="s">
        <v>555</v>
      </c>
      <c r="EP3" s="1412"/>
      <c r="EQ3" s="1412"/>
      <c r="ER3" s="1412"/>
      <c r="ES3" s="1412"/>
      <c r="ET3" s="1412"/>
      <c r="EU3" s="1412"/>
      <c r="EV3" s="1412"/>
      <c r="EW3" s="1412" t="s">
        <v>555</v>
      </c>
      <c r="EX3" s="1412"/>
      <c r="EY3" s="1412"/>
      <c r="EZ3" s="1412"/>
      <c r="FA3" s="1412"/>
      <c r="FB3" s="1412"/>
      <c r="FC3" s="1412"/>
      <c r="FD3" s="1412"/>
      <c r="FE3" s="1412" t="s">
        <v>555</v>
      </c>
      <c r="FF3" s="1412"/>
      <c r="FG3" s="1412"/>
      <c r="FH3" s="1412"/>
      <c r="FI3" s="1412"/>
      <c r="FJ3" s="1412"/>
      <c r="FK3" s="1412"/>
      <c r="FL3" s="1412"/>
      <c r="FM3" s="1412" t="s">
        <v>555</v>
      </c>
      <c r="FN3" s="1412"/>
      <c r="FO3" s="1412"/>
      <c r="FP3" s="1412"/>
      <c r="FQ3" s="1412"/>
      <c r="FR3" s="1412"/>
      <c r="FS3" s="1412"/>
      <c r="FT3" s="1412"/>
      <c r="FU3" s="1412" t="s">
        <v>555</v>
      </c>
      <c r="FV3" s="1412"/>
      <c r="FW3" s="1412"/>
      <c r="FX3" s="1412"/>
      <c r="FY3" s="1412"/>
      <c r="FZ3" s="1412"/>
      <c r="GA3" s="1412"/>
      <c r="GB3" s="1412"/>
      <c r="GC3" s="1412" t="s">
        <v>555</v>
      </c>
      <c r="GD3" s="1412"/>
      <c r="GE3" s="1412"/>
      <c r="GF3" s="1412"/>
      <c r="GG3" s="1412"/>
      <c r="GH3" s="1412"/>
      <c r="GI3" s="1412"/>
      <c r="GJ3" s="1412"/>
      <c r="GK3" s="1412" t="s">
        <v>555</v>
      </c>
      <c r="GL3" s="1412"/>
      <c r="GM3" s="1412"/>
      <c r="GN3" s="1412"/>
      <c r="GO3" s="1412"/>
      <c r="GP3" s="1412"/>
      <c r="GQ3" s="1412"/>
      <c r="GR3" s="1412"/>
      <c r="GS3" s="1412" t="s">
        <v>555</v>
      </c>
      <c r="GT3" s="1412"/>
      <c r="GU3" s="1412"/>
      <c r="GV3" s="1412"/>
      <c r="GW3" s="1412"/>
      <c r="GX3" s="1412"/>
      <c r="GY3" s="1412"/>
      <c r="GZ3" s="1412"/>
      <c r="HA3" s="1412" t="s">
        <v>555</v>
      </c>
      <c r="HB3" s="1412"/>
      <c r="HC3" s="1412"/>
      <c r="HD3" s="1412"/>
      <c r="HE3" s="1412"/>
      <c r="HF3" s="1412"/>
      <c r="HG3" s="1412"/>
      <c r="HH3" s="1412"/>
      <c r="HI3" s="1412" t="s">
        <v>555</v>
      </c>
      <c r="HJ3" s="1412"/>
      <c r="HK3" s="1412"/>
      <c r="HL3" s="1412"/>
      <c r="HM3" s="1412"/>
      <c r="HN3" s="1412"/>
      <c r="HO3" s="1412"/>
      <c r="HP3" s="1412"/>
      <c r="HQ3" s="1412" t="s">
        <v>555</v>
      </c>
      <c r="HR3" s="1412"/>
      <c r="HS3" s="1412"/>
      <c r="HT3" s="1412"/>
      <c r="HU3" s="1412"/>
      <c r="HV3" s="1412"/>
      <c r="HW3" s="1412"/>
      <c r="HX3" s="1412"/>
      <c r="HY3" s="1412" t="s">
        <v>555</v>
      </c>
      <c r="HZ3" s="1412"/>
      <c r="IA3" s="1412"/>
      <c r="IB3" s="1412"/>
      <c r="IC3" s="1412"/>
      <c r="ID3" s="1412"/>
      <c r="IE3" s="1412"/>
      <c r="IF3" s="1412"/>
      <c r="IG3" s="1412" t="s">
        <v>555</v>
      </c>
      <c r="IH3" s="1412"/>
      <c r="II3" s="1412"/>
      <c r="IJ3" s="1412"/>
      <c r="IK3" s="1412"/>
      <c r="IL3" s="1412"/>
      <c r="IM3" s="1412"/>
      <c r="IN3" s="1412"/>
      <c r="IO3" s="1412" t="s">
        <v>555</v>
      </c>
      <c r="IP3" s="1412"/>
      <c r="IQ3" s="1412"/>
      <c r="IR3" s="1412"/>
      <c r="IS3" s="1412"/>
      <c r="IT3" s="1412"/>
      <c r="IU3" s="1412"/>
      <c r="IV3" s="1412"/>
    </row>
    <row r="4" spans="1:16" ht="13.5" customHeight="1">
      <c r="A4" s="1418"/>
      <c r="B4" s="1418"/>
      <c r="C4" s="1418"/>
      <c r="D4" s="1418"/>
      <c r="E4" s="1418"/>
      <c r="F4" s="1418"/>
      <c r="G4" s="1418"/>
      <c r="H4" s="1418"/>
      <c r="I4" s="1418"/>
      <c r="J4" s="1418"/>
      <c r="K4" s="1418"/>
      <c r="L4" s="1418"/>
      <c r="M4" s="1418"/>
      <c r="N4" s="1418"/>
      <c r="O4" s="1418"/>
      <c r="P4" s="1418"/>
    </row>
    <row r="5" spans="1:21" s="214" customFormat="1" ht="19.5" customHeight="1">
      <c r="A5" s="1419" t="s">
        <v>556</v>
      </c>
      <c r="B5" s="1420" t="s">
        <v>557</v>
      </c>
      <c r="C5" s="1419" t="s">
        <v>558</v>
      </c>
      <c r="D5" s="1419" t="s">
        <v>1294</v>
      </c>
      <c r="E5" s="1419" t="s">
        <v>1295</v>
      </c>
      <c r="F5" s="1419" t="s">
        <v>1287</v>
      </c>
      <c r="G5" s="1423" t="s">
        <v>559</v>
      </c>
      <c r="H5" s="1423"/>
      <c r="I5" s="1423"/>
      <c r="J5" s="1423"/>
      <c r="K5" s="1423"/>
      <c r="L5" s="1423"/>
      <c r="M5" s="1423"/>
      <c r="N5" s="1423"/>
      <c r="O5" s="1423"/>
      <c r="P5" s="1423"/>
      <c r="Q5" s="1415" t="s">
        <v>498</v>
      </c>
      <c r="R5" s="1415"/>
      <c r="S5" s="1213"/>
      <c r="T5" s="1213"/>
      <c r="U5" s="1213"/>
    </row>
    <row r="6" spans="1:21" ht="15.75" customHeight="1">
      <c r="A6" s="1419"/>
      <c r="B6" s="1421"/>
      <c r="C6" s="1419"/>
      <c r="D6" s="1419"/>
      <c r="E6" s="1419"/>
      <c r="F6" s="1419"/>
      <c r="G6" s="1416" t="s">
        <v>560</v>
      </c>
      <c r="H6" s="1416" t="s">
        <v>561</v>
      </c>
      <c r="I6" s="1416" t="s">
        <v>500</v>
      </c>
      <c r="J6" s="1416" t="s">
        <v>562</v>
      </c>
      <c r="K6" s="1416" t="s">
        <v>563</v>
      </c>
      <c r="L6" s="1416" t="s">
        <v>564</v>
      </c>
      <c r="M6" s="1416" t="s">
        <v>565</v>
      </c>
      <c r="N6" s="1416" t="s">
        <v>566</v>
      </c>
      <c r="O6" s="1416" t="s">
        <v>567</v>
      </c>
      <c r="P6" s="1416" t="s">
        <v>568</v>
      </c>
      <c r="Q6" s="1415" t="s">
        <v>984</v>
      </c>
      <c r="R6" s="1415" t="s">
        <v>1296</v>
      </c>
      <c r="S6" s="1214"/>
      <c r="T6" s="1214"/>
      <c r="U6" s="1214"/>
    </row>
    <row r="7" spans="1:21" ht="32.25" customHeight="1">
      <c r="A7" s="1419"/>
      <c r="B7" s="1422"/>
      <c r="C7" s="1419"/>
      <c r="D7" s="1419"/>
      <c r="E7" s="1419"/>
      <c r="F7" s="1419"/>
      <c r="G7" s="1417"/>
      <c r="H7" s="1417"/>
      <c r="I7" s="1417"/>
      <c r="J7" s="1417"/>
      <c r="K7" s="1417"/>
      <c r="L7" s="1417"/>
      <c r="M7" s="1417"/>
      <c r="N7" s="1417"/>
      <c r="O7" s="1417"/>
      <c r="P7" s="1417"/>
      <c r="Q7" s="1415"/>
      <c r="R7" s="1415"/>
      <c r="S7" s="1214"/>
      <c r="T7" s="1214"/>
      <c r="U7" s="1214"/>
    </row>
    <row r="8" spans="1:21" s="215" customFormat="1" ht="18" customHeight="1">
      <c r="A8" s="1215"/>
      <c r="B8" s="1215" t="s">
        <v>569</v>
      </c>
      <c r="C8" s="1215" t="s">
        <v>570</v>
      </c>
      <c r="D8" s="721">
        <v>576658</v>
      </c>
      <c r="E8" s="721">
        <v>601659</v>
      </c>
      <c r="F8" s="721">
        <v>612320</v>
      </c>
      <c r="G8" s="722">
        <f>G10+G11</f>
        <v>59461</v>
      </c>
      <c r="H8" s="722">
        <f aca="true" t="shared" si="0" ref="H8:P8">H10+H11</f>
        <v>11328</v>
      </c>
      <c r="I8" s="722">
        <f t="shared" si="0"/>
        <v>121709</v>
      </c>
      <c r="J8" s="722">
        <f t="shared" si="0"/>
        <v>89398</v>
      </c>
      <c r="K8" s="722">
        <f t="shared" si="0"/>
        <v>49324</v>
      </c>
      <c r="L8" s="722">
        <f t="shared" si="0"/>
        <v>58952</v>
      </c>
      <c r="M8" s="722">
        <f t="shared" si="0"/>
        <v>49548</v>
      </c>
      <c r="N8" s="722">
        <f t="shared" si="0"/>
        <v>47229</v>
      </c>
      <c r="O8" s="722">
        <f t="shared" si="0"/>
        <v>68415</v>
      </c>
      <c r="P8" s="722">
        <f t="shared" si="0"/>
        <v>56956</v>
      </c>
      <c r="Q8" s="1216">
        <f>E8/D8%</f>
        <v>104.33549868379525</v>
      </c>
      <c r="R8" s="1216">
        <f>F8/E8%</f>
        <v>101.7719339360003</v>
      </c>
      <c r="S8" s="1217"/>
      <c r="T8" s="1217"/>
      <c r="U8" s="1217"/>
    </row>
    <row r="9" spans="1:21" s="214" customFormat="1" ht="16.5" customHeight="1">
      <c r="A9" s="661"/>
      <c r="B9" s="1218" t="s">
        <v>571</v>
      </c>
      <c r="C9" s="661"/>
      <c r="D9" s="691">
        <v>287738</v>
      </c>
      <c r="E9" s="691">
        <v>296817</v>
      </c>
      <c r="F9" s="691">
        <v>302023</v>
      </c>
      <c r="G9" s="737">
        <v>29808</v>
      </c>
      <c r="H9" s="737">
        <v>5787</v>
      </c>
      <c r="I9" s="737">
        <v>60592</v>
      </c>
      <c r="J9" s="737">
        <v>44164</v>
      </c>
      <c r="K9" s="737">
        <v>24321</v>
      </c>
      <c r="L9" s="737">
        <v>28906</v>
      </c>
      <c r="M9" s="737">
        <v>24335</v>
      </c>
      <c r="N9" s="737">
        <v>22785</v>
      </c>
      <c r="O9" s="737">
        <v>33414</v>
      </c>
      <c r="P9" s="737">
        <v>27911</v>
      </c>
      <c r="Q9" s="634">
        <f aca="true" t="shared" si="1" ref="Q9:R11">E9/D9%</f>
        <v>103.15530100299577</v>
      </c>
      <c r="R9" s="634">
        <f t="shared" si="1"/>
        <v>101.75394266500908</v>
      </c>
      <c r="S9" s="1219"/>
      <c r="T9" s="1219"/>
      <c r="U9" s="1213"/>
    </row>
    <row r="10" spans="1:21" s="214" customFormat="1" ht="16.5" customHeight="1">
      <c r="A10" s="661"/>
      <c r="B10" s="1218" t="s">
        <v>572</v>
      </c>
      <c r="C10" s="661" t="s">
        <v>570</v>
      </c>
      <c r="D10" s="639">
        <v>87179</v>
      </c>
      <c r="E10" s="639">
        <v>86515</v>
      </c>
      <c r="F10" s="639">
        <v>87928</v>
      </c>
      <c r="G10" s="737">
        <v>56195</v>
      </c>
      <c r="H10" s="737">
        <v>6169</v>
      </c>
      <c r="I10" s="738">
        <v>0</v>
      </c>
      <c r="J10" s="737">
        <v>8220</v>
      </c>
      <c r="K10" s="737">
        <v>5499</v>
      </c>
      <c r="L10" s="737">
        <v>3955</v>
      </c>
      <c r="M10" s="737">
        <v>4332</v>
      </c>
      <c r="N10" s="738">
        <v>0</v>
      </c>
      <c r="O10" s="737">
        <v>3558</v>
      </c>
      <c r="P10" s="738">
        <v>0</v>
      </c>
      <c r="Q10" s="634">
        <f t="shared" si="1"/>
        <v>99.23834868488971</v>
      </c>
      <c r="R10" s="634">
        <f t="shared" si="1"/>
        <v>101.63324279026759</v>
      </c>
      <c r="S10" s="1213"/>
      <c r="T10" s="1219"/>
      <c r="U10" s="1220"/>
    </row>
    <row r="11" spans="1:21" s="214" customFormat="1" ht="16.5" customHeight="1">
      <c r="A11" s="661"/>
      <c r="B11" s="1218" t="s">
        <v>573</v>
      </c>
      <c r="C11" s="661" t="s">
        <v>570</v>
      </c>
      <c r="D11" s="639">
        <v>489479</v>
      </c>
      <c r="E11" s="639">
        <v>515144</v>
      </c>
      <c r="F11" s="639">
        <v>524392</v>
      </c>
      <c r="G11" s="639">
        <v>3266</v>
      </c>
      <c r="H11" s="639">
        <v>5159</v>
      </c>
      <c r="I11" s="639">
        <v>121709</v>
      </c>
      <c r="J11" s="639">
        <v>81178</v>
      </c>
      <c r="K11" s="639">
        <v>43825</v>
      </c>
      <c r="L11" s="639">
        <v>54997</v>
      </c>
      <c r="M11" s="639">
        <v>45216</v>
      </c>
      <c r="N11" s="639">
        <v>47229</v>
      </c>
      <c r="O11" s="639">
        <v>64857</v>
      </c>
      <c r="P11" s="639">
        <v>56956</v>
      </c>
      <c r="Q11" s="634">
        <f t="shared" si="1"/>
        <v>105.24333015308113</v>
      </c>
      <c r="R11" s="634">
        <f t="shared" si="1"/>
        <v>101.79522618918206</v>
      </c>
      <c r="S11" s="1213"/>
      <c r="T11" s="1219"/>
      <c r="U11" s="1220"/>
    </row>
    <row r="12" spans="1:21" s="217" customFormat="1" ht="16.5" customHeight="1">
      <c r="A12" s="1221" t="s">
        <v>104</v>
      </c>
      <c r="B12" s="1222" t="s">
        <v>994</v>
      </c>
      <c r="C12" s="1223"/>
      <c r="D12" s="613"/>
      <c r="E12" s="1224"/>
      <c r="F12" s="1225"/>
      <c r="G12" s="1224"/>
      <c r="H12" s="1224"/>
      <c r="I12" s="1224"/>
      <c r="J12" s="1224"/>
      <c r="K12" s="1224"/>
      <c r="L12" s="1224"/>
      <c r="M12" s="1224"/>
      <c r="N12" s="1224"/>
      <c r="O12" s="1224"/>
      <c r="P12" s="613"/>
      <c r="Q12" s="679"/>
      <c r="R12" s="679"/>
      <c r="S12" s="1226"/>
      <c r="T12" s="1219"/>
      <c r="U12" s="1226"/>
    </row>
    <row r="13" spans="1:20" s="1213" customFormat="1" ht="15.75" customHeight="1">
      <c r="A13" s="661">
        <v>1</v>
      </c>
      <c r="B13" s="660" t="s">
        <v>995</v>
      </c>
      <c r="C13" s="661" t="s">
        <v>574</v>
      </c>
      <c r="D13" s="1204">
        <v>337430</v>
      </c>
      <c r="E13" s="1204">
        <v>351970.51499999996</v>
      </c>
      <c r="F13" s="1204">
        <f>SUM(G13:P13)</f>
        <v>358232</v>
      </c>
      <c r="G13" s="1204">
        <v>35022</v>
      </c>
      <c r="H13" s="1204">
        <v>6626</v>
      </c>
      <c r="I13" s="1204">
        <v>71808</v>
      </c>
      <c r="J13" s="1204">
        <v>52744</v>
      </c>
      <c r="K13" s="1204">
        <v>29101</v>
      </c>
      <c r="L13" s="1204">
        <v>34192</v>
      </c>
      <c r="M13" s="1204">
        <v>28737</v>
      </c>
      <c r="N13" s="1204">
        <v>27345</v>
      </c>
      <c r="O13" s="1204">
        <v>39680</v>
      </c>
      <c r="P13" s="1204">
        <v>32977</v>
      </c>
      <c r="Q13" s="679">
        <f>E13/D13%</f>
        <v>104.3091944995999</v>
      </c>
      <c r="R13" s="679">
        <f>F13/E13%</f>
        <v>101.77897998075208</v>
      </c>
      <c r="T13" s="1219"/>
    </row>
    <row r="14" spans="1:20" s="1229" customFormat="1" ht="15.75" customHeight="1">
      <c r="A14" s="1227"/>
      <c r="B14" s="1228" t="s">
        <v>575</v>
      </c>
      <c r="C14" s="1227" t="s">
        <v>19</v>
      </c>
      <c r="D14" s="1205">
        <f>D13/D8%</f>
        <v>58.51475224483143</v>
      </c>
      <c r="E14" s="1205">
        <f>E13/E8%</f>
        <v>58.49999999999999</v>
      </c>
      <c r="F14" s="1205">
        <f aca="true" t="shared" si="2" ref="F14:P14">F13/F8%</f>
        <v>58.50405016984583</v>
      </c>
      <c r="G14" s="1205">
        <f t="shared" si="2"/>
        <v>58.89911034123207</v>
      </c>
      <c r="H14" s="1205">
        <f t="shared" si="2"/>
        <v>58.492231638418076</v>
      </c>
      <c r="I14" s="1205">
        <f t="shared" si="2"/>
        <v>58.99974529410315</v>
      </c>
      <c r="J14" s="1205">
        <f t="shared" si="2"/>
        <v>58.99908275352916</v>
      </c>
      <c r="K14" s="1205">
        <f t="shared" si="2"/>
        <v>58.99967561430541</v>
      </c>
      <c r="L14" s="1205">
        <f t="shared" si="2"/>
        <v>57.99972859275343</v>
      </c>
      <c r="M14" s="1205">
        <f t="shared" si="2"/>
        <v>57.998304674255266</v>
      </c>
      <c r="N14" s="1205">
        <f t="shared" si="2"/>
        <v>57.89874865019373</v>
      </c>
      <c r="O14" s="1205">
        <f t="shared" si="2"/>
        <v>57.99897683256596</v>
      </c>
      <c r="P14" s="1205">
        <f t="shared" si="2"/>
        <v>57.89907999157245</v>
      </c>
      <c r="Q14" s="682">
        <f>E14-D14</f>
        <v>-0.01475224483143478</v>
      </c>
      <c r="R14" s="682">
        <f>F14-E14</f>
        <v>0.004050169845839946</v>
      </c>
      <c r="T14" s="1219"/>
    </row>
    <row r="15" spans="1:20" s="1213" customFormat="1" ht="30.75" customHeight="1" hidden="1">
      <c r="A15" s="661"/>
      <c r="B15" s="1230" t="s">
        <v>576</v>
      </c>
      <c r="C15" s="661" t="s">
        <v>574</v>
      </c>
      <c r="D15" s="1204"/>
      <c r="E15" s="1204"/>
      <c r="F15" s="1225"/>
      <c r="G15" s="1204"/>
      <c r="H15" s="1204"/>
      <c r="I15" s="1204"/>
      <c r="J15" s="1204"/>
      <c r="K15" s="1204"/>
      <c r="L15" s="1204"/>
      <c r="M15" s="1204"/>
      <c r="N15" s="1204"/>
      <c r="O15" s="1204"/>
      <c r="P15" s="1204"/>
      <c r="Q15" s="679"/>
      <c r="R15" s="679"/>
      <c r="T15" s="1219"/>
    </row>
    <row r="16" spans="1:20" s="1213" customFormat="1" ht="16.5" customHeight="1">
      <c r="A16" s="661">
        <v>2</v>
      </c>
      <c r="B16" s="1218" t="s">
        <v>996</v>
      </c>
      <c r="C16" s="661"/>
      <c r="D16" s="1204"/>
      <c r="E16" s="1204"/>
      <c r="F16" s="1225"/>
      <c r="G16" s="1204"/>
      <c r="H16" s="1204"/>
      <c r="I16" s="1204"/>
      <c r="J16" s="1204"/>
      <c r="K16" s="1204"/>
      <c r="L16" s="1204"/>
      <c r="M16" s="1204"/>
      <c r="N16" s="1204"/>
      <c r="O16" s="1204"/>
      <c r="P16" s="1204"/>
      <c r="Q16" s="679"/>
      <c r="R16" s="679"/>
      <c r="T16" s="1219"/>
    </row>
    <row r="17" spans="1:20" s="1213" customFormat="1" ht="16.5" customHeight="1">
      <c r="A17" s="661"/>
      <c r="B17" s="1218" t="s">
        <v>577</v>
      </c>
      <c r="C17" s="661" t="s">
        <v>574</v>
      </c>
      <c r="D17" s="1204">
        <v>59387</v>
      </c>
      <c r="E17" s="1204">
        <v>61946.1013374774</v>
      </c>
      <c r="F17" s="1204">
        <f>SUM(G17:P17)</f>
        <v>63018.13095</v>
      </c>
      <c r="G17" s="1204">
        <f>G13*97.075/100-1</f>
        <v>33996.6065</v>
      </c>
      <c r="H17" s="1204">
        <f>H13*71.92/100</f>
        <v>4765.4192</v>
      </c>
      <c r="I17" s="1204">
        <v>0</v>
      </c>
      <c r="J17" s="1204">
        <f>J13*14.73/100</f>
        <v>7769.1912</v>
      </c>
      <c r="K17" s="1204">
        <f>K13*16.19/100</f>
        <v>4711.451900000001</v>
      </c>
      <c r="L17" s="1204">
        <f>L13*12.81/100</f>
        <v>4379.9952</v>
      </c>
      <c r="M17" s="1204">
        <f>M13*12.935/100</f>
        <v>3717.13095</v>
      </c>
      <c r="N17" s="1204">
        <v>0</v>
      </c>
      <c r="O17" s="1204">
        <f>O13*9.27/100</f>
        <v>3678.336</v>
      </c>
      <c r="P17" s="1204">
        <v>0</v>
      </c>
      <c r="Q17" s="679">
        <f aca="true" t="shared" si="3" ref="Q17:R19">E17/D17%</f>
        <v>104.30919449959991</v>
      </c>
      <c r="R17" s="679">
        <f t="shared" si="3"/>
        <v>101.73058447485221</v>
      </c>
      <c r="T17" s="1219"/>
    </row>
    <row r="18" spans="1:18" s="1213" customFormat="1" ht="16.5" customHeight="1">
      <c r="A18" s="661"/>
      <c r="B18" s="1218" t="s">
        <v>578</v>
      </c>
      <c r="C18" s="661" t="s">
        <v>574</v>
      </c>
      <c r="D18" s="1204">
        <v>278043</v>
      </c>
      <c r="E18" s="1204">
        <v>290024</v>
      </c>
      <c r="F18" s="1204">
        <f>SUM(G18:P18)</f>
        <v>295213.86905000004</v>
      </c>
      <c r="G18" s="1204">
        <f>G13-G17</f>
        <v>1025.3934999999983</v>
      </c>
      <c r="H18" s="1204">
        <f>H13-H17</f>
        <v>1860.5807999999997</v>
      </c>
      <c r="I18" s="1204">
        <f>I13-I17</f>
        <v>71808</v>
      </c>
      <c r="J18" s="1204">
        <f aca="true" t="shared" si="4" ref="J18:P18">J13-J17</f>
        <v>44974.8088</v>
      </c>
      <c r="K18" s="1204">
        <f>K13-K17</f>
        <v>24389.5481</v>
      </c>
      <c r="L18" s="1204">
        <f t="shared" si="4"/>
        <v>29812.0048</v>
      </c>
      <c r="M18" s="1204">
        <f t="shared" si="4"/>
        <v>25019.86905</v>
      </c>
      <c r="N18" s="1204">
        <f t="shared" si="4"/>
        <v>27345</v>
      </c>
      <c r="O18" s="1204">
        <f t="shared" si="4"/>
        <v>36001.664</v>
      </c>
      <c r="P18" s="1204">
        <f t="shared" si="4"/>
        <v>32977</v>
      </c>
      <c r="Q18" s="679">
        <f t="shared" si="3"/>
        <v>104.30904572314356</v>
      </c>
      <c r="R18" s="679">
        <f t="shared" si="3"/>
        <v>101.7894619238408</v>
      </c>
    </row>
    <row r="19" spans="1:21" s="214" customFormat="1" ht="15.75" customHeight="1">
      <c r="A19" s="661">
        <v>3</v>
      </c>
      <c r="B19" s="660" t="s">
        <v>997</v>
      </c>
      <c r="C19" s="661" t="s">
        <v>574</v>
      </c>
      <c r="D19" s="1204">
        <v>328951</v>
      </c>
      <c r="E19" s="1204">
        <v>341411</v>
      </c>
      <c r="F19" s="1204">
        <v>345527</v>
      </c>
      <c r="G19" s="1204"/>
      <c r="H19" s="1204"/>
      <c r="I19" s="1204"/>
      <c r="J19" s="1204"/>
      <c r="K19" s="1204"/>
      <c r="L19" s="1204"/>
      <c r="M19" s="1204"/>
      <c r="N19" s="1204"/>
      <c r="O19" s="1204"/>
      <c r="P19" s="1204"/>
      <c r="Q19" s="679">
        <f t="shared" si="3"/>
        <v>103.78779818270806</v>
      </c>
      <c r="R19" s="679">
        <f t="shared" si="3"/>
        <v>101.2055850573063</v>
      </c>
      <c r="S19" s="1213"/>
      <c r="T19" s="1213"/>
      <c r="U19" s="1213"/>
    </row>
    <row r="20" spans="1:21" s="218" customFormat="1" ht="25.5">
      <c r="A20" s="1227"/>
      <c r="B20" s="1231" t="s">
        <v>579</v>
      </c>
      <c r="C20" s="1227" t="s">
        <v>19</v>
      </c>
      <c r="D20" s="1205">
        <f>D19/D13*100</f>
        <v>97.48718252674628</v>
      </c>
      <c r="E20" s="1205">
        <f>E19/E13*100</f>
        <v>96.99988648196853</v>
      </c>
      <c r="F20" s="1205">
        <f>F19/F13*100</f>
        <v>96.45341566359231</v>
      </c>
      <c r="G20" s="1232"/>
      <c r="H20" s="1232"/>
      <c r="I20" s="1225"/>
      <c r="J20" s="1225"/>
      <c r="K20" s="1225"/>
      <c r="L20" s="1225"/>
      <c r="M20" s="1225"/>
      <c r="N20" s="1225"/>
      <c r="O20" s="1225"/>
      <c r="P20" s="1225"/>
      <c r="Q20" s="682">
        <f>E20-D20</f>
        <v>-0.4872960447777501</v>
      </c>
      <c r="R20" s="682">
        <f>F20-E20</f>
        <v>-0.5464708183762212</v>
      </c>
      <c r="S20" s="1229"/>
      <c r="T20" s="1229"/>
      <c r="U20" s="1229"/>
    </row>
    <row r="21" spans="1:21" s="214" customFormat="1" ht="15.75" customHeight="1">
      <c r="A21" s="661"/>
      <c r="B21" s="1230" t="s">
        <v>580</v>
      </c>
      <c r="C21" s="661" t="s">
        <v>574</v>
      </c>
      <c r="D21" s="1204">
        <v>157633</v>
      </c>
      <c r="E21" s="1204">
        <v>163603.81990934818</v>
      </c>
      <c r="F21" s="1204">
        <v>165576.2031153576</v>
      </c>
      <c r="G21" s="710"/>
      <c r="H21" s="710"/>
      <c r="I21" s="710"/>
      <c r="J21" s="1204"/>
      <c r="K21" s="1204"/>
      <c r="L21" s="1204"/>
      <c r="M21" s="1204"/>
      <c r="N21" s="1204"/>
      <c r="O21" s="1204"/>
      <c r="P21" s="1204"/>
      <c r="Q21" s="679">
        <f>E21/D21%</f>
        <v>103.78779818270806</v>
      </c>
      <c r="R21" s="679">
        <f>F21/E21%</f>
        <v>101.20558505730631</v>
      </c>
      <c r="S21" s="1213"/>
      <c r="T21" s="1213"/>
      <c r="U21" s="1213"/>
    </row>
    <row r="22" spans="1:21" s="214" customFormat="1" ht="25.5">
      <c r="A22" s="661">
        <v>4</v>
      </c>
      <c r="B22" s="660" t="s">
        <v>998</v>
      </c>
      <c r="C22" s="661" t="s">
        <v>574</v>
      </c>
      <c r="D22" s="1204">
        <v>326161</v>
      </c>
      <c r="E22" s="1204">
        <v>339022</v>
      </c>
      <c r="F22" s="1204">
        <v>343799</v>
      </c>
      <c r="G22" s="710"/>
      <c r="H22" s="710"/>
      <c r="I22" s="710"/>
      <c r="J22" s="1204"/>
      <c r="K22" s="1204"/>
      <c r="L22" s="1204"/>
      <c r="M22" s="1204"/>
      <c r="N22" s="1204"/>
      <c r="O22" s="1204"/>
      <c r="P22" s="1204"/>
      <c r="Q22" s="679">
        <f>E22/D22%</f>
        <v>103.94314464328966</v>
      </c>
      <c r="R22" s="679">
        <f>F22/E22%</f>
        <v>101.40905309979884</v>
      </c>
      <c r="S22" s="1213"/>
      <c r="T22" s="1213"/>
      <c r="U22" s="1213"/>
    </row>
    <row r="23" spans="1:21" s="218" customFormat="1" ht="15.75" customHeight="1">
      <c r="A23" s="1227"/>
      <c r="B23" s="1233" t="s">
        <v>581</v>
      </c>
      <c r="C23" s="1227" t="s">
        <v>19</v>
      </c>
      <c r="D23" s="1205">
        <f>D22/D19*100</f>
        <v>99.15184936358303</v>
      </c>
      <c r="E23" s="1205">
        <f>E22/E19*100</f>
        <v>99.30025687514463</v>
      </c>
      <c r="F23" s="1205">
        <f>F22/F19*100</f>
        <v>99.49989436426097</v>
      </c>
      <c r="G23" s="1225"/>
      <c r="H23" s="1225"/>
      <c r="I23" s="1225"/>
      <c r="J23" s="1232"/>
      <c r="K23" s="1232"/>
      <c r="L23" s="1232"/>
      <c r="M23" s="1232"/>
      <c r="N23" s="1232"/>
      <c r="O23" s="1232"/>
      <c r="P23" s="1232"/>
      <c r="Q23" s="682">
        <f>E23-D23</f>
        <v>0.1484075115616008</v>
      </c>
      <c r="R23" s="682">
        <f>F23-E23</f>
        <v>0.19963748911634127</v>
      </c>
      <c r="S23" s="1229"/>
      <c r="T23" s="1229"/>
      <c r="U23" s="1229"/>
    </row>
    <row r="24" spans="1:21" s="214" customFormat="1" ht="15.75" customHeight="1">
      <c r="A24" s="661"/>
      <c r="B24" s="1218" t="s">
        <v>582</v>
      </c>
      <c r="C24" s="661" t="s">
        <v>574</v>
      </c>
      <c r="D24" s="1204">
        <v>157241</v>
      </c>
      <c r="E24" s="1204">
        <v>162459</v>
      </c>
      <c r="F24" s="1204">
        <v>164748</v>
      </c>
      <c r="G24" s="1206"/>
      <c r="H24" s="1206"/>
      <c r="I24" s="1206"/>
      <c r="J24" s="1204"/>
      <c r="K24" s="1204"/>
      <c r="L24" s="1204"/>
      <c r="M24" s="1204"/>
      <c r="N24" s="1204"/>
      <c r="O24" s="1204"/>
      <c r="P24" s="1204"/>
      <c r="Q24" s="679">
        <f>E24/D24%</f>
        <v>103.31847291736888</v>
      </c>
      <c r="R24" s="679">
        <f>F24/E24%</f>
        <v>101.40897087880634</v>
      </c>
      <c r="S24" s="1213"/>
      <c r="T24" s="1213"/>
      <c r="U24" s="1213"/>
    </row>
    <row r="25" spans="1:21" s="214" customFormat="1" ht="15.75" customHeight="1">
      <c r="A25" s="661"/>
      <c r="B25" s="1222" t="s">
        <v>583</v>
      </c>
      <c r="C25" s="661" t="s">
        <v>574</v>
      </c>
      <c r="D25" s="1234"/>
      <c r="E25" s="1234"/>
      <c r="F25" s="1204"/>
      <c r="G25" s="1206"/>
      <c r="H25" s="1206"/>
      <c r="I25" s="1206"/>
      <c r="J25" s="1235"/>
      <c r="K25" s="1235"/>
      <c r="L25" s="1235"/>
      <c r="M25" s="1235"/>
      <c r="N25" s="1204"/>
      <c r="O25" s="1204"/>
      <c r="P25" s="1204"/>
      <c r="Q25" s="679"/>
      <c r="R25" s="679"/>
      <c r="S25" s="1213"/>
      <c r="T25" s="1213"/>
      <c r="U25" s="1213"/>
    </row>
    <row r="26" spans="1:21" s="214" customFormat="1" ht="15.75" customHeight="1">
      <c r="A26" s="661" t="s">
        <v>508</v>
      </c>
      <c r="B26" s="1218" t="s">
        <v>999</v>
      </c>
      <c r="C26" s="661" t="s">
        <v>574</v>
      </c>
      <c r="D26" s="1206">
        <v>41357</v>
      </c>
      <c r="E26" s="1206">
        <v>50853.3</v>
      </c>
      <c r="F26" s="1204">
        <v>53632.64399999999</v>
      </c>
      <c r="G26" s="1206"/>
      <c r="H26" s="1206"/>
      <c r="I26" s="1206"/>
      <c r="J26" s="1204"/>
      <c r="K26" s="1204"/>
      <c r="L26" s="1204"/>
      <c r="M26" s="1204"/>
      <c r="N26" s="1204"/>
      <c r="O26" s="1204"/>
      <c r="P26" s="1204"/>
      <c r="Q26" s="679">
        <f>E26/D26%</f>
        <v>122.96177188867665</v>
      </c>
      <c r="R26" s="679">
        <f>F26/E26%</f>
        <v>105.46541522379077</v>
      </c>
      <c r="S26" s="1213"/>
      <c r="T26" s="1213"/>
      <c r="U26" s="1213"/>
    </row>
    <row r="27" spans="1:21" s="218" customFormat="1" ht="25.5">
      <c r="A27" s="1227"/>
      <c r="B27" s="1231" t="s">
        <v>584</v>
      </c>
      <c r="C27" s="1227" t="s">
        <v>19</v>
      </c>
      <c r="D27" s="1207">
        <f>D26/D22*100</f>
        <v>12.679934142953938</v>
      </c>
      <c r="E27" s="1207">
        <f>E26/E22*100</f>
        <v>15.000000000000002</v>
      </c>
      <c r="F27" s="1207">
        <f>F26/F22*100</f>
        <v>15.599999999999998</v>
      </c>
      <c r="G27" s="1236"/>
      <c r="H27" s="1236"/>
      <c r="I27" s="1236"/>
      <c r="J27" s="1205"/>
      <c r="K27" s="1232"/>
      <c r="L27" s="1232"/>
      <c r="M27" s="1232"/>
      <c r="N27" s="1232"/>
      <c r="O27" s="1232"/>
      <c r="P27" s="1232"/>
      <c r="Q27" s="682">
        <f>E27-D27</f>
        <v>2.320065857046064</v>
      </c>
      <c r="R27" s="682">
        <f>F27-E27</f>
        <v>0.5999999999999961</v>
      </c>
      <c r="S27" s="1229"/>
      <c r="T27" s="1229"/>
      <c r="U27" s="1229"/>
    </row>
    <row r="28" spans="1:21" s="214" customFormat="1" ht="25.5">
      <c r="A28" s="661" t="s">
        <v>509</v>
      </c>
      <c r="B28" s="1230" t="s">
        <v>1000</v>
      </c>
      <c r="C28" s="661" t="s">
        <v>574</v>
      </c>
      <c r="D28" s="1204">
        <v>203126</v>
      </c>
      <c r="E28" s="1204">
        <v>203413.2</v>
      </c>
      <c r="F28" s="1204">
        <v>201810.013</v>
      </c>
      <c r="G28" s="1234"/>
      <c r="H28" s="1234"/>
      <c r="I28" s="1234"/>
      <c r="J28" s="1204"/>
      <c r="K28" s="1204"/>
      <c r="L28" s="1204"/>
      <c r="M28" s="1204"/>
      <c r="N28" s="1204"/>
      <c r="O28" s="1204"/>
      <c r="P28" s="1204"/>
      <c r="Q28" s="679">
        <f>E28/D28%</f>
        <v>100.14139007315657</v>
      </c>
      <c r="R28" s="679">
        <f>F28/E28%</f>
        <v>99.2118569493032</v>
      </c>
      <c r="S28" s="1213"/>
      <c r="T28" s="1213"/>
      <c r="U28" s="1213"/>
    </row>
    <row r="29" spans="1:21" s="218" customFormat="1" ht="25.5">
      <c r="A29" s="1227"/>
      <c r="B29" s="1231" t="s">
        <v>584</v>
      </c>
      <c r="C29" s="1227" t="s">
        <v>19</v>
      </c>
      <c r="D29" s="1207">
        <f>D28/D22*100</f>
        <v>62.27783211358807</v>
      </c>
      <c r="E29" s="1207">
        <f>E28/E22*100</f>
        <v>60.00000000000001</v>
      </c>
      <c r="F29" s="1207">
        <f>F28/F22*100</f>
        <v>58.699999999999996</v>
      </c>
      <c r="G29" s="1236"/>
      <c r="H29" s="1236"/>
      <c r="I29" s="1236"/>
      <c r="J29" s="1205"/>
      <c r="K29" s="1205"/>
      <c r="L29" s="1205"/>
      <c r="M29" s="1205"/>
      <c r="N29" s="1232"/>
      <c r="O29" s="1232"/>
      <c r="P29" s="1232"/>
      <c r="Q29" s="682">
        <f>E29-D29</f>
        <v>-2.2778321135880617</v>
      </c>
      <c r="R29" s="682">
        <f>F29-E29</f>
        <v>-1.3000000000000114</v>
      </c>
      <c r="S29" s="1229"/>
      <c r="T29" s="1229"/>
      <c r="U29" s="1229"/>
    </row>
    <row r="30" spans="1:21" s="214" customFormat="1" ht="15.75" customHeight="1">
      <c r="A30" s="661" t="s">
        <v>510</v>
      </c>
      <c r="B30" s="1218" t="s">
        <v>1001</v>
      </c>
      <c r="C30" s="661" t="s">
        <v>574</v>
      </c>
      <c r="D30" s="1204">
        <v>81678</v>
      </c>
      <c r="E30" s="1204">
        <v>84755.5</v>
      </c>
      <c r="F30" s="1204">
        <v>88356.34300000002</v>
      </c>
      <c r="G30" s="1234"/>
      <c r="H30" s="1234"/>
      <c r="I30" s="1234"/>
      <c r="J30" s="1204"/>
      <c r="K30" s="1204"/>
      <c r="L30" s="1204"/>
      <c r="M30" s="1204"/>
      <c r="N30" s="1204"/>
      <c r="O30" s="1204"/>
      <c r="P30" s="1204"/>
      <c r="Q30" s="679">
        <f>E30/D30%</f>
        <v>103.76784446240114</v>
      </c>
      <c r="R30" s="679">
        <f>F30/E30%</f>
        <v>104.24850658659324</v>
      </c>
      <c r="S30" s="1213"/>
      <c r="T30" s="1213"/>
      <c r="U30" s="1213"/>
    </row>
    <row r="31" spans="1:21" s="218" customFormat="1" ht="25.5">
      <c r="A31" s="1237"/>
      <c r="B31" s="1231" t="s">
        <v>584</v>
      </c>
      <c r="C31" s="1227" t="s">
        <v>19</v>
      </c>
      <c r="D31" s="1207">
        <f>D30/D22*100</f>
        <v>25.042233743457988</v>
      </c>
      <c r="E31" s="1207">
        <f>E30/E22*100</f>
        <v>25</v>
      </c>
      <c r="F31" s="1207">
        <f>F30/F22*100</f>
        <v>25.700000000000006</v>
      </c>
      <c r="G31" s="1236"/>
      <c r="H31" s="1236"/>
      <c r="I31" s="1236"/>
      <c r="J31" s="1205"/>
      <c r="K31" s="1232"/>
      <c r="L31" s="1232"/>
      <c r="M31" s="1232"/>
      <c r="N31" s="1232"/>
      <c r="O31" s="1232"/>
      <c r="P31" s="1232"/>
      <c r="Q31" s="682">
        <f>E31-D31</f>
        <v>-0.04223374345798803</v>
      </c>
      <c r="R31" s="682">
        <f>F31-E31</f>
        <v>0.7000000000000064</v>
      </c>
      <c r="S31" s="1229"/>
      <c r="T31" s="1229"/>
      <c r="U31" s="1229"/>
    </row>
    <row r="32" spans="1:21" s="214" customFormat="1" ht="15.75" customHeight="1">
      <c r="A32" s="661">
        <v>5</v>
      </c>
      <c r="B32" s="1230" t="s">
        <v>1002</v>
      </c>
      <c r="C32" s="661" t="s">
        <v>574</v>
      </c>
      <c r="D32" s="1204">
        <v>171581</v>
      </c>
      <c r="E32" s="1204">
        <v>186410.40600000002</v>
      </c>
      <c r="F32" s="1204">
        <v>196950.39</v>
      </c>
      <c r="G32" s="1234"/>
      <c r="H32" s="1234"/>
      <c r="I32" s="1234"/>
      <c r="J32" s="1204"/>
      <c r="K32" s="1204"/>
      <c r="L32" s="710"/>
      <c r="M32" s="710"/>
      <c r="N32" s="710"/>
      <c r="O32" s="710"/>
      <c r="P32" s="710"/>
      <c r="Q32" s="679">
        <f>E32/D32%</f>
        <v>108.64280194193998</v>
      </c>
      <c r="R32" s="679">
        <f>F32/E32%</f>
        <v>105.65418220268239</v>
      </c>
      <c r="S32" s="1213"/>
      <c r="T32" s="1213"/>
      <c r="U32" s="1213"/>
    </row>
    <row r="33" spans="1:21" s="218" customFormat="1" ht="25.5">
      <c r="A33" s="1227"/>
      <c r="B33" s="1231" t="s">
        <v>585</v>
      </c>
      <c r="C33" s="1227" t="s">
        <v>19</v>
      </c>
      <c r="D33" s="1208">
        <f>D32/D19*100</f>
        <v>52.160048153068395</v>
      </c>
      <c r="E33" s="1208">
        <f>E32/E19*100</f>
        <v>54.6</v>
      </c>
      <c r="F33" s="1208">
        <f>F32/F19*100</f>
        <v>57.00000000000001</v>
      </c>
      <c r="G33" s="1207"/>
      <c r="H33" s="1232"/>
      <c r="I33" s="1232"/>
      <c r="J33" s="1232"/>
      <c r="K33" s="1232"/>
      <c r="L33" s="1225"/>
      <c r="M33" s="1225"/>
      <c r="N33" s="1225"/>
      <c r="O33" s="1225"/>
      <c r="P33" s="1225"/>
      <c r="Q33" s="682">
        <f>E33-D33</f>
        <v>2.4399518469316064</v>
      </c>
      <c r="R33" s="682">
        <f>F33-E33</f>
        <v>2.4000000000000057</v>
      </c>
      <c r="S33" s="1229"/>
      <c r="T33" s="1229"/>
      <c r="U33" s="1229"/>
    </row>
    <row r="34" spans="1:21" s="218" customFormat="1" ht="25.5">
      <c r="A34" s="1227"/>
      <c r="B34" s="1231" t="s">
        <v>586</v>
      </c>
      <c r="C34" s="1227" t="s">
        <v>19</v>
      </c>
      <c r="D34" s="1207">
        <v>30.15</v>
      </c>
      <c r="E34" s="1207">
        <v>26.02</v>
      </c>
      <c r="F34" s="1208">
        <v>28.5</v>
      </c>
      <c r="G34" s="1232"/>
      <c r="H34" s="1232"/>
      <c r="I34" s="1232"/>
      <c r="J34" s="1232"/>
      <c r="K34" s="1232"/>
      <c r="L34" s="1225"/>
      <c r="M34" s="1225"/>
      <c r="N34" s="1225"/>
      <c r="O34" s="1225"/>
      <c r="P34" s="1225"/>
      <c r="Q34" s="682">
        <f>E34-D34</f>
        <v>-4.129999999999999</v>
      </c>
      <c r="R34" s="682">
        <f>F34-E34</f>
        <v>2.4800000000000004</v>
      </c>
      <c r="S34" s="1229"/>
      <c r="T34" s="1229"/>
      <c r="U34" s="1229"/>
    </row>
    <row r="35" spans="1:21" s="214" customFormat="1" ht="25.5">
      <c r="A35" s="661">
        <v>6</v>
      </c>
      <c r="B35" s="1230" t="s">
        <v>587</v>
      </c>
      <c r="C35" s="661" t="s">
        <v>574</v>
      </c>
      <c r="D35" s="1204">
        <v>9528</v>
      </c>
      <c r="E35" s="1204">
        <v>9535</v>
      </c>
      <c r="F35" s="1204">
        <v>8700</v>
      </c>
      <c r="G35" s="1204">
        <v>2150</v>
      </c>
      <c r="H35" s="1204">
        <v>750</v>
      </c>
      <c r="I35" s="1204">
        <v>1400</v>
      </c>
      <c r="J35" s="1204">
        <v>1000</v>
      </c>
      <c r="K35" s="1204">
        <v>700</v>
      </c>
      <c r="L35" s="710">
        <v>700</v>
      </c>
      <c r="M35" s="710">
        <v>500</v>
      </c>
      <c r="N35" s="710">
        <v>550</v>
      </c>
      <c r="O35" s="710">
        <v>500</v>
      </c>
      <c r="P35" s="710">
        <v>450</v>
      </c>
      <c r="Q35" s="679">
        <f>E35/D35%</f>
        <v>100.07346767422334</v>
      </c>
      <c r="R35" s="679">
        <f>F35/E35%</f>
        <v>91.24278972207657</v>
      </c>
      <c r="S35" s="1213"/>
      <c r="T35" s="1213"/>
      <c r="U35" s="1213"/>
    </row>
    <row r="36" spans="1:21" s="218" customFormat="1" ht="25.5">
      <c r="A36" s="1227"/>
      <c r="B36" s="1230" t="s">
        <v>588</v>
      </c>
      <c r="C36" s="661" t="s">
        <v>574</v>
      </c>
      <c r="D36" s="1204">
        <v>1064</v>
      </c>
      <c r="E36" s="1204">
        <v>900</v>
      </c>
      <c r="F36" s="1204">
        <v>1000</v>
      </c>
      <c r="G36" s="1204"/>
      <c r="H36" s="1204"/>
      <c r="I36" s="1204"/>
      <c r="J36" s="1204"/>
      <c r="K36" s="1204"/>
      <c r="L36" s="710"/>
      <c r="M36" s="710"/>
      <c r="N36" s="710"/>
      <c r="O36" s="710"/>
      <c r="P36" s="710"/>
      <c r="Q36" s="679">
        <f>E36/D36%</f>
        <v>84.58646616541353</v>
      </c>
      <c r="R36" s="679">
        <f>F36/E36%</f>
        <v>111.11111111111111</v>
      </c>
      <c r="S36" s="1229"/>
      <c r="T36" s="1229"/>
      <c r="U36" s="1229"/>
    </row>
    <row r="37" spans="1:21" s="218" customFormat="1" ht="25.5">
      <c r="A37" s="1227"/>
      <c r="B37" s="1230" t="s">
        <v>589</v>
      </c>
      <c r="C37" s="661" t="s">
        <v>574</v>
      </c>
      <c r="D37" s="1204">
        <v>46</v>
      </c>
      <c r="E37" s="1204">
        <v>67</v>
      </c>
      <c r="F37" s="710"/>
      <c r="G37" s="1204"/>
      <c r="H37" s="1204"/>
      <c r="I37" s="1204"/>
      <c r="J37" s="1204"/>
      <c r="K37" s="1204"/>
      <c r="L37" s="710"/>
      <c r="M37" s="710"/>
      <c r="N37" s="710"/>
      <c r="O37" s="710"/>
      <c r="P37" s="710"/>
      <c r="Q37" s="679"/>
      <c r="R37" s="679"/>
      <c r="S37" s="1229"/>
      <c r="T37" s="1229"/>
      <c r="U37" s="1229"/>
    </row>
    <row r="38" spans="1:21" s="214" customFormat="1" ht="25.5">
      <c r="A38" s="661">
        <v>7</v>
      </c>
      <c r="B38" s="1230" t="s">
        <v>1003</v>
      </c>
      <c r="C38" s="661" t="s">
        <v>19</v>
      </c>
      <c r="D38" s="1209">
        <v>2.75</v>
      </c>
      <c r="E38" s="1209">
        <v>2.64</v>
      </c>
      <c r="F38" s="710">
        <v>2.5</v>
      </c>
      <c r="G38" s="1235"/>
      <c r="H38" s="1235"/>
      <c r="I38" s="1235"/>
      <c r="J38" s="1235"/>
      <c r="K38" s="1235"/>
      <c r="L38" s="1235"/>
      <c r="M38" s="1235"/>
      <c r="N38" s="1235"/>
      <c r="O38" s="1235"/>
      <c r="P38" s="1235"/>
      <c r="Q38" s="679">
        <f>E38-D38</f>
        <v>-0.10999999999999988</v>
      </c>
      <c r="R38" s="679">
        <f>F38-E38</f>
        <v>-0.14000000000000012</v>
      </c>
      <c r="S38" s="1213"/>
      <c r="T38" s="1213"/>
      <c r="U38" s="1213"/>
    </row>
    <row r="39" spans="1:21" s="217" customFormat="1" ht="17.25" customHeight="1">
      <c r="A39" s="1221" t="s">
        <v>114</v>
      </c>
      <c r="B39" s="1238" t="s">
        <v>590</v>
      </c>
      <c r="C39" s="1221"/>
      <c r="D39" s="1224"/>
      <c r="E39" s="614"/>
      <c r="F39" s="710"/>
      <c r="G39" s="1239"/>
      <c r="H39" s="1239"/>
      <c r="I39" s="1239"/>
      <c r="J39" s="1239"/>
      <c r="K39" s="1239"/>
      <c r="L39" s="1239"/>
      <c r="M39" s="1239"/>
      <c r="N39" s="1239"/>
      <c r="O39" s="1239"/>
      <c r="P39" s="1239"/>
      <c r="Q39" s="679"/>
      <c r="R39" s="679"/>
      <c r="S39" s="1226"/>
      <c r="T39" s="1226"/>
      <c r="U39" s="1226"/>
    </row>
    <row r="40" spans="1:21" s="214" customFormat="1" ht="25.5">
      <c r="A40" s="661">
        <v>1</v>
      </c>
      <c r="B40" s="1230" t="s">
        <v>591</v>
      </c>
      <c r="C40" s="661" t="s">
        <v>185</v>
      </c>
      <c r="D40" s="1210">
        <v>2736</v>
      </c>
      <c r="E40" s="1210">
        <v>2557</v>
      </c>
      <c r="F40" s="1240">
        <v>2302</v>
      </c>
      <c r="G40" s="1210">
        <v>115</v>
      </c>
      <c r="H40" s="1210">
        <v>60</v>
      </c>
      <c r="I40" s="1210">
        <v>575</v>
      </c>
      <c r="J40" s="1210">
        <v>386</v>
      </c>
      <c r="K40" s="1204">
        <v>153</v>
      </c>
      <c r="L40" s="1204">
        <v>174</v>
      </c>
      <c r="M40" s="1204">
        <v>166</v>
      </c>
      <c r="N40" s="1204">
        <v>212</v>
      </c>
      <c r="O40" s="1204">
        <v>254</v>
      </c>
      <c r="P40" s="711">
        <v>207</v>
      </c>
      <c r="Q40" s="679">
        <f aca="true" t="shared" si="5" ref="Q40:R42">E40/D40%</f>
        <v>93.45760233918129</v>
      </c>
      <c r="R40" s="679">
        <f t="shared" si="5"/>
        <v>90.02737583105201</v>
      </c>
      <c r="S40" s="1213"/>
      <c r="T40" s="1213"/>
      <c r="U40" s="1213"/>
    </row>
    <row r="41" spans="1:24" s="214" customFormat="1" ht="25.5">
      <c r="A41" s="661">
        <v>2</v>
      </c>
      <c r="B41" s="1230" t="s">
        <v>592</v>
      </c>
      <c r="C41" s="661" t="s">
        <v>185</v>
      </c>
      <c r="D41" s="1204">
        <v>1530</v>
      </c>
      <c r="E41" s="1204">
        <v>1619</v>
      </c>
      <c r="F41" s="1240">
        <v>1700</v>
      </c>
      <c r="G41" s="1204">
        <v>85</v>
      </c>
      <c r="H41" s="1204">
        <v>52</v>
      </c>
      <c r="I41" s="1204">
        <v>413</v>
      </c>
      <c r="J41" s="1204">
        <v>229</v>
      </c>
      <c r="K41" s="1204">
        <v>141</v>
      </c>
      <c r="L41" s="1204">
        <v>143</v>
      </c>
      <c r="M41" s="1204">
        <v>138</v>
      </c>
      <c r="N41" s="1204">
        <v>134</v>
      </c>
      <c r="O41" s="1204">
        <v>213</v>
      </c>
      <c r="P41" s="1204">
        <v>152</v>
      </c>
      <c r="Q41" s="679">
        <f t="shared" si="5"/>
        <v>105.81699346405229</v>
      </c>
      <c r="R41" s="679">
        <f t="shared" si="5"/>
        <v>105.00308832612723</v>
      </c>
      <c r="S41" s="1213"/>
      <c r="T41" s="1213"/>
      <c r="U41" s="1213"/>
      <c r="X41" s="219">
        <f>SUM(G41:W41)</f>
        <v>1910.8200817901795</v>
      </c>
    </row>
    <row r="42" spans="1:21" s="214" customFormat="1" ht="25.5">
      <c r="A42" s="661">
        <v>3</v>
      </c>
      <c r="B42" s="1230" t="s">
        <v>423</v>
      </c>
      <c r="C42" s="661" t="s">
        <v>593</v>
      </c>
      <c r="D42" s="1204">
        <v>93</v>
      </c>
      <c r="E42" s="1204">
        <v>98</v>
      </c>
      <c r="F42" s="1240">
        <v>104</v>
      </c>
      <c r="G42" s="711">
        <v>9</v>
      </c>
      <c r="H42" s="711">
        <v>3</v>
      </c>
      <c r="I42" s="711">
        <v>24</v>
      </c>
      <c r="J42" s="711">
        <v>14</v>
      </c>
      <c r="K42" s="711">
        <v>10</v>
      </c>
      <c r="L42" s="711">
        <v>8</v>
      </c>
      <c r="M42" s="711">
        <v>8</v>
      </c>
      <c r="N42" s="711">
        <v>7</v>
      </c>
      <c r="O42" s="711">
        <v>10</v>
      </c>
      <c r="P42" s="711">
        <v>5</v>
      </c>
      <c r="Q42" s="679">
        <f t="shared" si="5"/>
        <v>105.3763440860215</v>
      </c>
      <c r="R42" s="679">
        <f t="shared" si="5"/>
        <v>106.12244897959184</v>
      </c>
      <c r="S42" s="1213"/>
      <c r="T42" s="1213"/>
      <c r="U42" s="1213"/>
    </row>
    <row r="43" spans="1:21" s="218" customFormat="1" ht="25.5">
      <c r="A43" s="1227"/>
      <c r="B43" s="1231" t="s">
        <v>1004</v>
      </c>
      <c r="C43" s="1227" t="s">
        <v>19</v>
      </c>
      <c r="D43" s="1208">
        <f>D42/130%</f>
        <v>71.53846153846153</v>
      </c>
      <c r="E43" s="1208">
        <f>E42/130%</f>
        <v>75.38461538461539</v>
      </c>
      <c r="F43" s="1208">
        <f>F42/130%</f>
        <v>80</v>
      </c>
      <c r="G43" s="1241">
        <v>100</v>
      </c>
      <c r="H43" s="1241">
        <v>100</v>
      </c>
      <c r="I43" s="1208">
        <v>96</v>
      </c>
      <c r="J43" s="1208">
        <v>73.68421052631578</v>
      </c>
      <c r="K43" s="1241">
        <v>100</v>
      </c>
      <c r="L43" s="1208">
        <v>66.66666666666666</v>
      </c>
      <c r="M43" s="1208">
        <v>67</v>
      </c>
      <c r="N43" s="1208">
        <v>63.63636363636363</v>
      </c>
      <c r="O43" s="1208">
        <v>71.42857142857143</v>
      </c>
      <c r="P43" s="1208">
        <v>45.45454545454545</v>
      </c>
      <c r="Q43" s="682">
        <f>E43-D43</f>
        <v>3.846153846153854</v>
      </c>
      <c r="R43" s="682">
        <f>F43-E43</f>
        <v>4.615384615384613</v>
      </c>
      <c r="S43" s="1229"/>
      <c r="T43" s="1229"/>
      <c r="U43" s="1229"/>
    </row>
    <row r="44" spans="1:21" s="214" customFormat="1" ht="25.5">
      <c r="A44" s="661">
        <v>4</v>
      </c>
      <c r="B44" s="1230" t="s">
        <v>594</v>
      </c>
      <c r="C44" s="661" t="s">
        <v>185</v>
      </c>
      <c r="D44" s="1204">
        <v>75</v>
      </c>
      <c r="E44" s="1204">
        <v>78</v>
      </c>
      <c r="F44" s="1240">
        <v>82</v>
      </c>
      <c r="G44" s="711">
        <v>6</v>
      </c>
      <c r="H44" s="711">
        <v>1</v>
      </c>
      <c r="I44" s="711">
        <v>16</v>
      </c>
      <c r="J44" s="711">
        <v>3</v>
      </c>
      <c r="K44" s="711">
        <v>2</v>
      </c>
      <c r="L44" s="711">
        <v>25</v>
      </c>
      <c r="M44" s="711">
        <v>2</v>
      </c>
      <c r="N44" s="711">
        <v>5</v>
      </c>
      <c r="O44" s="711">
        <v>15</v>
      </c>
      <c r="P44" s="711">
        <v>7</v>
      </c>
      <c r="Q44" s="679">
        <f aca="true" t="shared" si="6" ref="Q44:R47">E44/D44%</f>
        <v>104</v>
      </c>
      <c r="R44" s="679">
        <f t="shared" si="6"/>
        <v>105.12820512820512</v>
      </c>
      <c r="S44" s="1213"/>
      <c r="T44" s="1213"/>
      <c r="U44" s="1213"/>
    </row>
    <row r="45" spans="1:21" s="214" customFormat="1" ht="25.5">
      <c r="A45" s="661">
        <v>5</v>
      </c>
      <c r="B45" s="1230" t="s">
        <v>595</v>
      </c>
      <c r="C45" s="661" t="s">
        <v>185</v>
      </c>
      <c r="D45" s="1204">
        <v>161</v>
      </c>
      <c r="E45" s="1204">
        <v>175</v>
      </c>
      <c r="F45" s="1240">
        <v>175</v>
      </c>
      <c r="G45" s="711">
        <v>7</v>
      </c>
      <c r="H45" s="711">
        <v>3</v>
      </c>
      <c r="I45" s="711">
        <v>42</v>
      </c>
      <c r="J45" s="711">
        <v>21</v>
      </c>
      <c r="K45" s="711">
        <v>14</v>
      </c>
      <c r="L45" s="711">
        <v>42</v>
      </c>
      <c r="M45" s="711">
        <v>4</v>
      </c>
      <c r="N45" s="711">
        <v>11</v>
      </c>
      <c r="O45" s="711">
        <v>11</v>
      </c>
      <c r="P45" s="711">
        <v>20</v>
      </c>
      <c r="Q45" s="679">
        <f t="shared" si="6"/>
        <v>108.69565217391303</v>
      </c>
      <c r="R45" s="679">
        <f t="shared" si="6"/>
        <v>100</v>
      </c>
      <c r="S45" s="1213"/>
      <c r="T45" s="1213"/>
      <c r="U45" s="1213"/>
    </row>
    <row r="46" spans="1:21" s="214" customFormat="1" ht="38.25">
      <c r="A46" s="661" t="s">
        <v>652</v>
      </c>
      <c r="B46" s="647" t="s">
        <v>1005</v>
      </c>
      <c r="C46" s="661"/>
      <c r="D46" s="1204"/>
      <c r="E46" s="1204"/>
      <c r="F46" s="1240"/>
      <c r="G46" s="711"/>
      <c r="H46" s="711"/>
      <c r="I46" s="711"/>
      <c r="J46" s="711"/>
      <c r="K46" s="711"/>
      <c r="L46" s="711"/>
      <c r="M46" s="711"/>
      <c r="N46" s="711"/>
      <c r="O46" s="711"/>
      <c r="P46" s="711"/>
      <c r="Q46" s="679"/>
      <c r="R46" s="679"/>
      <c r="S46" s="1213"/>
      <c r="T46" s="1213"/>
      <c r="U46" s="1213"/>
    </row>
    <row r="47" spans="1:21" s="214" customFormat="1" ht="38.25">
      <c r="A47" s="661">
        <v>1</v>
      </c>
      <c r="B47" s="1230" t="s">
        <v>1006</v>
      </c>
      <c r="C47" s="661" t="s">
        <v>695</v>
      </c>
      <c r="D47" s="1204">
        <v>534</v>
      </c>
      <c r="E47" s="1204">
        <v>558</v>
      </c>
      <c r="F47" s="1240">
        <v>575</v>
      </c>
      <c r="G47" s="711">
        <v>35</v>
      </c>
      <c r="H47" s="711">
        <v>21</v>
      </c>
      <c r="I47" s="711">
        <v>102</v>
      </c>
      <c r="J47" s="711">
        <v>136</v>
      </c>
      <c r="K47" s="711">
        <v>37</v>
      </c>
      <c r="L47" s="711">
        <v>17</v>
      </c>
      <c r="M47" s="711">
        <v>32</v>
      </c>
      <c r="N47" s="711">
        <v>31</v>
      </c>
      <c r="O47" s="711">
        <v>81</v>
      </c>
      <c r="P47" s="711">
        <v>83</v>
      </c>
      <c r="Q47" s="679">
        <f t="shared" si="6"/>
        <v>104.49438202247191</v>
      </c>
      <c r="R47" s="679">
        <f t="shared" si="6"/>
        <v>103.04659498207886</v>
      </c>
      <c r="S47" s="1213"/>
      <c r="T47" s="1213"/>
      <c r="U47" s="1213"/>
    </row>
    <row r="48" spans="1:21" s="214" customFormat="1" ht="25.5">
      <c r="A48" s="661">
        <v>2</v>
      </c>
      <c r="B48" s="1230" t="s">
        <v>1007</v>
      </c>
      <c r="C48" s="661" t="s">
        <v>1008</v>
      </c>
      <c r="D48" s="1204">
        <v>11</v>
      </c>
      <c r="E48" s="1204">
        <v>25</v>
      </c>
      <c r="F48" s="1240"/>
      <c r="G48" s="711"/>
      <c r="H48" s="711"/>
      <c r="I48" s="711"/>
      <c r="J48" s="711"/>
      <c r="K48" s="711"/>
      <c r="L48" s="711"/>
      <c r="M48" s="711"/>
      <c r="N48" s="711"/>
      <c r="O48" s="711"/>
      <c r="P48" s="711"/>
      <c r="Q48" s="679"/>
      <c r="R48" s="679"/>
      <c r="S48" s="1213"/>
      <c r="T48" s="1213"/>
      <c r="U48" s="1213"/>
    </row>
    <row r="49" spans="1:21" s="214" customFormat="1" ht="16.5" customHeight="1">
      <c r="A49" s="661">
        <v>3</v>
      </c>
      <c r="B49" s="1230" t="s">
        <v>1009</v>
      </c>
      <c r="C49" s="661" t="s">
        <v>1008</v>
      </c>
      <c r="D49" s="1204">
        <v>11</v>
      </c>
      <c r="E49" s="1204">
        <v>25</v>
      </c>
      <c r="F49" s="1240"/>
      <c r="G49" s="711"/>
      <c r="H49" s="711"/>
      <c r="I49" s="711"/>
      <c r="J49" s="711"/>
      <c r="K49" s="711"/>
      <c r="L49" s="711"/>
      <c r="M49" s="711"/>
      <c r="N49" s="711"/>
      <c r="O49" s="711"/>
      <c r="P49" s="711"/>
      <c r="Q49" s="679"/>
      <c r="R49" s="679"/>
      <c r="S49" s="1213"/>
      <c r="T49" s="1213"/>
      <c r="U49" s="1213"/>
    </row>
    <row r="50" spans="1:21" s="214" customFormat="1" ht="41.25" customHeight="1">
      <c r="A50" s="661">
        <v>4</v>
      </c>
      <c r="B50" s="1230" t="s">
        <v>1010</v>
      </c>
      <c r="C50" s="661" t="s">
        <v>185</v>
      </c>
      <c r="D50" s="1242" t="s">
        <v>1349</v>
      </c>
      <c r="E50" s="1242" t="s">
        <v>1350</v>
      </c>
      <c r="F50" s="1242" t="s">
        <v>1351</v>
      </c>
      <c r="G50" s="1242" t="s">
        <v>1352</v>
      </c>
      <c r="H50" s="1242" t="s">
        <v>1353</v>
      </c>
      <c r="I50" s="1242" t="s">
        <v>1354</v>
      </c>
      <c r="J50" s="1242" t="s">
        <v>1355</v>
      </c>
      <c r="K50" s="1242" t="s">
        <v>1356</v>
      </c>
      <c r="L50" s="1242" t="s">
        <v>1357</v>
      </c>
      <c r="M50" s="1242" t="s">
        <v>1358</v>
      </c>
      <c r="N50" s="1242" t="s">
        <v>1359</v>
      </c>
      <c r="O50" s="1242" t="s">
        <v>1360</v>
      </c>
      <c r="P50" s="1242" t="s">
        <v>1361</v>
      </c>
      <c r="Q50" s="679"/>
      <c r="R50" s="679"/>
      <c r="S50" s="1213"/>
      <c r="T50" s="1213"/>
      <c r="U50" s="1213"/>
    </row>
    <row r="51" spans="1:21" s="217" customFormat="1" ht="18" customHeight="1">
      <c r="A51" s="1221" t="s">
        <v>118</v>
      </c>
      <c r="B51" s="1238" t="s">
        <v>596</v>
      </c>
      <c r="C51" s="1221"/>
      <c r="D51" s="1224"/>
      <c r="E51" s="1224"/>
      <c r="F51" s="710"/>
      <c r="G51" s="614"/>
      <c r="H51" s="614"/>
      <c r="I51" s="614"/>
      <c r="J51" s="614"/>
      <c r="K51" s="614"/>
      <c r="L51" s="614"/>
      <c r="M51" s="614"/>
      <c r="N51" s="614"/>
      <c r="O51" s="614"/>
      <c r="P51" s="614"/>
      <c r="Q51" s="679"/>
      <c r="R51" s="1243"/>
      <c r="S51" s="1226"/>
      <c r="T51" s="1226"/>
      <c r="U51" s="1226"/>
    </row>
    <row r="52" spans="1:21" s="214" customFormat="1" ht="18" customHeight="1">
      <c r="A52" s="1221" t="s">
        <v>597</v>
      </c>
      <c r="B52" s="1238" t="s">
        <v>598</v>
      </c>
      <c r="C52" s="661" t="s">
        <v>553</v>
      </c>
      <c r="D52" s="1204"/>
      <c r="E52" s="1204"/>
      <c r="F52" s="710"/>
      <c r="G52" s="711"/>
      <c r="H52" s="711"/>
      <c r="I52" s="711"/>
      <c r="J52" s="711"/>
      <c r="K52" s="711"/>
      <c r="L52" s="711"/>
      <c r="M52" s="711"/>
      <c r="N52" s="711"/>
      <c r="O52" s="711"/>
      <c r="P52" s="711"/>
      <c r="Q52" s="679"/>
      <c r="R52" s="679"/>
      <c r="S52" s="1213"/>
      <c r="T52" s="1213"/>
      <c r="U52" s="1213"/>
    </row>
    <row r="53" spans="1:21" s="214" customFormat="1" ht="25.5">
      <c r="A53" s="661">
        <v>1</v>
      </c>
      <c r="B53" s="1230" t="s">
        <v>599</v>
      </c>
      <c r="C53" s="661" t="s">
        <v>600</v>
      </c>
      <c r="D53" s="1204">
        <v>9089</v>
      </c>
      <c r="E53" s="1204">
        <v>8973</v>
      </c>
      <c r="F53" s="1204">
        <v>8973</v>
      </c>
      <c r="G53" s="710"/>
      <c r="H53" s="710"/>
      <c r="I53" s="710"/>
      <c r="J53" s="710"/>
      <c r="K53" s="710"/>
      <c r="L53" s="710"/>
      <c r="M53" s="710"/>
      <c r="N53" s="710"/>
      <c r="O53" s="710"/>
      <c r="P53" s="710"/>
      <c r="Q53" s="679">
        <f aca="true" t="shared" si="7" ref="Q53:R73">E53/D53%</f>
        <v>98.72373198371658</v>
      </c>
      <c r="R53" s="679">
        <f t="shared" si="7"/>
        <v>100</v>
      </c>
      <c r="S53" s="1213"/>
      <c r="T53" s="1213"/>
      <c r="U53" s="1213"/>
    </row>
    <row r="54" spans="1:22" s="214" customFormat="1" ht="16.5" customHeight="1">
      <c r="A54" s="661"/>
      <c r="B54" s="1230" t="s">
        <v>601</v>
      </c>
      <c r="C54" s="661" t="s">
        <v>600</v>
      </c>
      <c r="D54" s="1204">
        <v>522</v>
      </c>
      <c r="E54" s="1204">
        <v>469</v>
      </c>
      <c r="F54" s="1204">
        <v>400</v>
      </c>
      <c r="G54" s="710"/>
      <c r="H54" s="1204"/>
      <c r="I54" s="1204"/>
      <c r="J54" s="710"/>
      <c r="K54" s="710"/>
      <c r="L54" s="710"/>
      <c r="M54" s="710"/>
      <c r="N54" s="710"/>
      <c r="O54" s="710"/>
      <c r="P54" s="710"/>
      <c r="Q54" s="679">
        <f t="shared" si="7"/>
        <v>89.84674329501917</v>
      </c>
      <c r="R54" s="679">
        <f t="shared" si="7"/>
        <v>85.28784648187633</v>
      </c>
      <c r="S54" s="1213"/>
      <c r="T54" s="1219">
        <v>3717</v>
      </c>
      <c r="U54" s="1219"/>
      <c r="V54" s="216"/>
    </row>
    <row r="55" spans="1:22" s="214" customFormat="1" ht="16.5" customHeight="1">
      <c r="A55" s="661">
        <v>2</v>
      </c>
      <c r="B55" s="1230" t="s">
        <v>602</v>
      </c>
      <c r="C55" s="661" t="s">
        <v>600</v>
      </c>
      <c r="D55" s="1204">
        <v>917</v>
      </c>
      <c r="E55" s="1204">
        <v>950</v>
      </c>
      <c r="F55" s="1204">
        <v>935</v>
      </c>
      <c r="G55" s="710"/>
      <c r="H55" s="710"/>
      <c r="I55" s="710"/>
      <c r="J55" s="710"/>
      <c r="K55" s="710"/>
      <c r="L55" s="710"/>
      <c r="M55" s="710"/>
      <c r="N55" s="710"/>
      <c r="O55" s="710"/>
      <c r="P55" s="710"/>
      <c r="Q55" s="679">
        <f t="shared" si="7"/>
        <v>103.59869138495092</v>
      </c>
      <c r="R55" s="679">
        <f t="shared" si="7"/>
        <v>98.42105263157895</v>
      </c>
      <c r="S55" s="1219">
        <f>F55-E55</f>
        <v>-15</v>
      </c>
      <c r="T55" s="1219">
        <v>5779</v>
      </c>
      <c r="U55" s="1219">
        <f>T55-T54</f>
        <v>2062</v>
      </c>
      <c r="V55" s="216"/>
    </row>
    <row r="56" spans="1:22" s="214" customFormat="1" ht="16.5" customHeight="1">
      <c r="A56" s="661"/>
      <c r="B56" s="1230" t="s">
        <v>603</v>
      </c>
      <c r="C56" s="661"/>
      <c r="D56" s="1204"/>
      <c r="E56" s="1204"/>
      <c r="F56" s="1244"/>
      <c r="G56" s="710"/>
      <c r="H56" s="710"/>
      <c r="I56" s="710"/>
      <c r="J56" s="710"/>
      <c r="K56" s="710"/>
      <c r="L56" s="710"/>
      <c r="M56" s="710"/>
      <c r="N56" s="710"/>
      <c r="O56" s="710"/>
      <c r="P56" s="710"/>
      <c r="Q56" s="679"/>
      <c r="R56" s="679"/>
      <c r="S56" s="1213"/>
      <c r="T56" s="1245">
        <f>T55/T54*100</f>
        <v>155.47484530535377</v>
      </c>
      <c r="U56" s="1245">
        <f>T55/T54</f>
        <v>1.5547484530535378</v>
      </c>
      <c r="V56" s="216"/>
    </row>
    <row r="57" spans="1:22" s="214" customFormat="1" ht="16.5" customHeight="1">
      <c r="A57" s="1221"/>
      <c r="B57" s="1230" t="s">
        <v>604</v>
      </c>
      <c r="C57" s="661" t="s">
        <v>600</v>
      </c>
      <c r="D57" s="1204">
        <v>527</v>
      </c>
      <c r="E57" s="1204">
        <v>550</v>
      </c>
      <c r="F57" s="1204">
        <v>465</v>
      </c>
      <c r="G57" s="711">
        <v>25</v>
      </c>
      <c r="H57" s="711">
        <v>10</v>
      </c>
      <c r="I57" s="711">
        <v>100</v>
      </c>
      <c r="J57" s="711">
        <v>45</v>
      </c>
      <c r="K57" s="711">
        <v>30</v>
      </c>
      <c r="L57" s="711">
        <v>20</v>
      </c>
      <c r="M57" s="711">
        <v>20</v>
      </c>
      <c r="N57" s="711">
        <v>100</v>
      </c>
      <c r="O57" s="711">
        <v>50</v>
      </c>
      <c r="P57" s="711">
        <v>65</v>
      </c>
      <c r="Q57" s="679">
        <f t="shared" si="7"/>
        <v>104.36432637571158</v>
      </c>
      <c r="R57" s="679">
        <f t="shared" si="7"/>
        <v>84.54545454545455</v>
      </c>
      <c r="S57" s="1213"/>
      <c r="T57" s="1219"/>
      <c r="U57" s="1219"/>
      <c r="V57" s="216"/>
    </row>
    <row r="58" spans="1:22" s="214" customFormat="1" ht="16.5" customHeight="1">
      <c r="A58" s="661"/>
      <c r="B58" s="1230" t="s">
        <v>605</v>
      </c>
      <c r="C58" s="661" t="s">
        <v>600</v>
      </c>
      <c r="D58" s="1204">
        <v>390</v>
      </c>
      <c r="E58" s="1204">
        <v>376</v>
      </c>
      <c r="F58" s="1204">
        <v>470</v>
      </c>
      <c r="G58" s="710"/>
      <c r="H58" s="710"/>
      <c r="I58" s="710"/>
      <c r="J58" s="710"/>
      <c r="K58" s="710"/>
      <c r="L58" s="710"/>
      <c r="M58" s="710"/>
      <c r="N58" s="710"/>
      <c r="O58" s="710"/>
      <c r="P58" s="710"/>
      <c r="Q58" s="679">
        <f t="shared" si="7"/>
        <v>96.41025641025641</v>
      </c>
      <c r="R58" s="679">
        <f t="shared" si="7"/>
        <v>125</v>
      </c>
      <c r="S58" s="1213"/>
      <c r="T58" s="1219"/>
      <c r="U58" s="1219"/>
      <c r="V58" s="216"/>
    </row>
    <row r="59" spans="1:22" s="214" customFormat="1" ht="25.5">
      <c r="A59" s="661"/>
      <c r="B59" s="1230" t="s">
        <v>606</v>
      </c>
      <c r="C59" s="661" t="s">
        <v>600</v>
      </c>
      <c r="D59" s="1204">
        <v>390</v>
      </c>
      <c r="E59" s="1204">
        <v>376</v>
      </c>
      <c r="F59" s="1204">
        <v>470</v>
      </c>
      <c r="G59" s="710"/>
      <c r="H59" s="710"/>
      <c r="I59" s="710"/>
      <c r="J59" s="710"/>
      <c r="K59" s="710"/>
      <c r="L59" s="710"/>
      <c r="M59" s="710"/>
      <c r="N59" s="710"/>
      <c r="O59" s="710"/>
      <c r="P59" s="710"/>
      <c r="Q59" s="679">
        <f t="shared" si="7"/>
        <v>96.41025641025641</v>
      </c>
      <c r="R59" s="679">
        <f t="shared" si="7"/>
        <v>125</v>
      </c>
      <c r="S59" s="1213"/>
      <c r="T59" s="1219"/>
      <c r="U59" s="1219"/>
      <c r="V59" s="216"/>
    </row>
    <row r="60" spans="1:22" s="214" customFormat="1" ht="25.5">
      <c r="A60" s="661"/>
      <c r="B60" s="1230" t="s">
        <v>607</v>
      </c>
      <c r="C60" s="661" t="s">
        <v>600</v>
      </c>
      <c r="D60" s="1204">
        <v>0</v>
      </c>
      <c r="E60" s="1204">
        <v>0</v>
      </c>
      <c r="F60" s="1204"/>
      <c r="G60" s="710"/>
      <c r="H60" s="710"/>
      <c r="I60" s="710"/>
      <c r="J60" s="710"/>
      <c r="K60" s="710"/>
      <c r="L60" s="710"/>
      <c r="M60" s="710"/>
      <c r="N60" s="710"/>
      <c r="O60" s="710"/>
      <c r="P60" s="710"/>
      <c r="Q60" s="679"/>
      <c r="R60" s="679"/>
      <c r="S60" s="1213"/>
      <c r="T60" s="1219"/>
      <c r="U60" s="1219"/>
      <c r="V60" s="216"/>
    </row>
    <row r="61" spans="1:22" s="214" customFormat="1" ht="17.25" customHeight="1">
      <c r="A61" s="661"/>
      <c r="B61" s="1230" t="s">
        <v>608</v>
      </c>
      <c r="C61" s="661" t="s">
        <v>600</v>
      </c>
      <c r="D61" s="1204">
        <v>0</v>
      </c>
      <c r="E61" s="1204">
        <v>0</v>
      </c>
      <c r="F61" s="1204"/>
      <c r="G61" s="710"/>
      <c r="H61" s="710"/>
      <c r="I61" s="710"/>
      <c r="J61" s="710"/>
      <c r="K61" s="710"/>
      <c r="L61" s="710"/>
      <c r="M61" s="710"/>
      <c r="N61" s="710"/>
      <c r="O61" s="710"/>
      <c r="P61" s="710"/>
      <c r="Q61" s="679"/>
      <c r="R61" s="679"/>
      <c r="S61" s="1213"/>
      <c r="T61" s="1219"/>
      <c r="U61" s="1219"/>
      <c r="V61" s="216"/>
    </row>
    <row r="62" spans="1:21" s="214" customFormat="1" ht="25.5">
      <c r="A62" s="661">
        <v>3</v>
      </c>
      <c r="B62" s="1230" t="s">
        <v>609</v>
      </c>
      <c r="C62" s="661" t="s">
        <v>600</v>
      </c>
      <c r="D62" s="1204">
        <v>2649</v>
      </c>
      <c r="E62" s="1204">
        <v>2780</v>
      </c>
      <c r="F62" s="1204">
        <v>3480</v>
      </c>
      <c r="G62" s="710"/>
      <c r="H62" s="710"/>
      <c r="I62" s="710"/>
      <c r="J62" s="710"/>
      <c r="K62" s="710"/>
      <c r="L62" s="710"/>
      <c r="M62" s="710"/>
      <c r="N62" s="710"/>
      <c r="O62" s="710"/>
      <c r="P62" s="710"/>
      <c r="Q62" s="679">
        <f t="shared" si="7"/>
        <v>104.94526236315592</v>
      </c>
      <c r="R62" s="679">
        <f t="shared" si="7"/>
        <v>125.17985611510791</v>
      </c>
      <c r="S62" s="1213"/>
      <c r="T62" s="1213"/>
      <c r="U62" s="1213"/>
    </row>
    <row r="63" spans="1:21" s="214" customFormat="1" ht="16.5" customHeight="1">
      <c r="A63" s="661">
        <v>4</v>
      </c>
      <c r="B63" s="1230" t="s">
        <v>610</v>
      </c>
      <c r="C63" s="661" t="s">
        <v>611</v>
      </c>
      <c r="D63" s="710">
        <f>D64+D65</f>
        <v>2</v>
      </c>
      <c r="E63" s="710">
        <f>E64+E65</f>
        <v>2</v>
      </c>
      <c r="F63" s="710">
        <v>2</v>
      </c>
      <c r="G63" s="710"/>
      <c r="H63" s="1246"/>
      <c r="I63" s="711"/>
      <c r="J63" s="711"/>
      <c r="K63" s="711"/>
      <c r="L63" s="711"/>
      <c r="M63" s="711"/>
      <c r="N63" s="711"/>
      <c r="O63" s="711"/>
      <c r="P63" s="711"/>
      <c r="Q63" s="679">
        <f t="shared" si="7"/>
        <v>100</v>
      </c>
      <c r="R63" s="679">
        <f t="shared" si="7"/>
        <v>100</v>
      </c>
      <c r="S63" s="1213"/>
      <c r="T63" s="1213"/>
      <c r="U63" s="1213"/>
    </row>
    <row r="64" spans="1:21" s="214" customFormat="1" ht="16.5" customHeight="1">
      <c r="A64" s="661"/>
      <c r="B64" s="1230" t="s">
        <v>612</v>
      </c>
      <c r="C64" s="661" t="s">
        <v>611</v>
      </c>
      <c r="D64" s="710">
        <v>1</v>
      </c>
      <c r="E64" s="710">
        <v>1</v>
      </c>
      <c r="F64" s="710">
        <v>1</v>
      </c>
      <c r="G64" s="711"/>
      <c r="H64" s="1246"/>
      <c r="I64" s="711"/>
      <c r="J64" s="711"/>
      <c r="K64" s="711"/>
      <c r="L64" s="711"/>
      <c r="M64" s="711"/>
      <c r="N64" s="711"/>
      <c r="O64" s="711"/>
      <c r="P64" s="711"/>
      <c r="Q64" s="679">
        <f t="shared" si="7"/>
        <v>100</v>
      </c>
      <c r="R64" s="679">
        <f t="shared" si="7"/>
        <v>100</v>
      </c>
      <c r="S64" s="1213"/>
      <c r="T64" s="1213"/>
      <c r="U64" s="1213"/>
    </row>
    <row r="65" spans="1:21" s="214" customFormat="1" ht="16.5" customHeight="1">
      <c r="A65" s="661"/>
      <c r="B65" s="1230" t="s">
        <v>1011</v>
      </c>
      <c r="C65" s="661" t="s">
        <v>611</v>
      </c>
      <c r="D65" s="710">
        <v>1</v>
      </c>
      <c r="E65" s="710">
        <v>1</v>
      </c>
      <c r="F65" s="710">
        <v>1</v>
      </c>
      <c r="G65" s="711"/>
      <c r="H65" s="1246"/>
      <c r="I65" s="711"/>
      <c r="J65" s="711"/>
      <c r="K65" s="711"/>
      <c r="L65" s="711"/>
      <c r="M65" s="711"/>
      <c r="N65" s="711"/>
      <c r="O65" s="711"/>
      <c r="P65" s="711"/>
      <c r="Q65" s="679">
        <f t="shared" si="7"/>
        <v>100</v>
      </c>
      <c r="R65" s="679">
        <f t="shared" si="7"/>
        <v>100</v>
      </c>
      <c r="S65" s="1213"/>
      <c r="T65" s="1213"/>
      <c r="U65" s="1213"/>
    </row>
    <row r="66" spans="1:21" s="217" customFormat="1" ht="18.75" customHeight="1">
      <c r="A66" s="1247" t="s">
        <v>613</v>
      </c>
      <c r="B66" s="1238" t="s">
        <v>1111</v>
      </c>
      <c r="C66" s="1221"/>
      <c r="D66" s="613"/>
      <c r="E66" s="1224"/>
      <c r="F66" s="1248"/>
      <c r="G66" s="1248"/>
      <c r="H66" s="1248"/>
      <c r="I66" s="1224"/>
      <c r="J66" s="1224"/>
      <c r="K66" s="1224"/>
      <c r="L66" s="1224"/>
      <c r="M66" s="1224"/>
      <c r="N66" s="1224"/>
      <c r="O66" s="1224"/>
      <c r="P66" s="1224"/>
      <c r="Q66" s="679"/>
      <c r="R66" s="679"/>
      <c r="S66" s="1226"/>
      <c r="T66" s="1226"/>
      <c r="U66" s="1226"/>
    </row>
    <row r="67" spans="1:21" s="214" customFormat="1" ht="17.25" customHeight="1">
      <c r="A67" s="661">
        <v>1</v>
      </c>
      <c r="B67" s="1230" t="s">
        <v>614</v>
      </c>
      <c r="C67" s="661" t="s">
        <v>615</v>
      </c>
      <c r="D67" s="1249">
        <v>127667</v>
      </c>
      <c r="E67" s="1204">
        <v>130668</v>
      </c>
      <c r="F67" s="1204">
        <v>133281</v>
      </c>
      <c r="G67" s="1204">
        <v>15504</v>
      </c>
      <c r="H67" s="1204">
        <v>3254</v>
      </c>
      <c r="I67" s="1204">
        <v>29580</v>
      </c>
      <c r="J67" s="1204">
        <v>19524</v>
      </c>
      <c r="K67" s="1204">
        <v>11038</v>
      </c>
      <c r="L67" s="1204">
        <v>11556</v>
      </c>
      <c r="M67" s="1204">
        <v>9580</v>
      </c>
      <c r="N67" s="1204">
        <v>9093</v>
      </c>
      <c r="O67" s="1204">
        <v>13479</v>
      </c>
      <c r="P67" s="1204">
        <v>10673</v>
      </c>
      <c r="Q67" s="679">
        <f t="shared" si="7"/>
        <v>102.35064660405585</v>
      </c>
      <c r="R67" s="679">
        <f t="shared" si="7"/>
        <v>101.99972449260721</v>
      </c>
      <c r="S67" s="1219"/>
      <c r="T67" s="1213"/>
      <c r="U67" s="1213"/>
    </row>
    <row r="68" spans="1:21" s="214" customFormat="1" ht="27.75" customHeight="1">
      <c r="A68" s="661">
        <v>2</v>
      </c>
      <c r="B68" s="1230" t="s">
        <v>1110</v>
      </c>
      <c r="C68" s="661" t="s">
        <v>615</v>
      </c>
      <c r="D68" s="1249">
        <v>51188</v>
      </c>
      <c r="E68" s="1204">
        <v>47336</v>
      </c>
      <c r="F68" s="1204">
        <v>44387</v>
      </c>
      <c r="G68" s="1204">
        <v>40</v>
      </c>
      <c r="H68" s="1204">
        <v>215</v>
      </c>
      <c r="I68" s="1204">
        <v>4681</v>
      </c>
      <c r="J68" s="1204">
        <v>7825</v>
      </c>
      <c r="K68" s="1204">
        <v>3464</v>
      </c>
      <c r="L68" s="1204">
        <v>5450</v>
      </c>
      <c r="M68" s="1204">
        <v>5074</v>
      </c>
      <c r="N68" s="1204">
        <v>5250</v>
      </c>
      <c r="O68" s="1204">
        <v>6658</v>
      </c>
      <c r="P68" s="1204">
        <v>5730</v>
      </c>
      <c r="Q68" s="679">
        <f t="shared" si="7"/>
        <v>92.47479878096429</v>
      </c>
      <c r="R68" s="679">
        <f t="shared" si="7"/>
        <v>93.77006929187088</v>
      </c>
      <c r="S68" s="1219"/>
      <c r="T68" s="1213"/>
      <c r="U68" s="1213"/>
    </row>
    <row r="69" spans="1:21" s="214" customFormat="1" ht="27.75" customHeight="1">
      <c r="A69" s="661">
        <v>3</v>
      </c>
      <c r="B69" s="1230" t="s">
        <v>1112</v>
      </c>
      <c r="C69" s="661" t="s">
        <v>615</v>
      </c>
      <c r="D69" s="1204">
        <v>47336</v>
      </c>
      <c r="E69" s="1204">
        <v>44387</v>
      </c>
      <c r="F69" s="1204">
        <v>40873</v>
      </c>
      <c r="G69" s="1204">
        <v>36</v>
      </c>
      <c r="H69" s="1204">
        <v>196</v>
      </c>
      <c r="I69" s="1204">
        <v>4283</v>
      </c>
      <c r="J69" s="1204">
        <v>7121</v>
      </c>
      <c r="K69" s="1204">
        <v>3083</v>
      </c>
      <c r="L69" s="1204">
        <v>5069</v>
      </c>
      <c r="M69" s="1204">
        <v>4719</v>
      </c>
      <c r="N69" s="1204">
        <v>4935</v>
      </c>
      <c r="O69" s="1204">
        <v>6159</v>
      </c>
      <c r="P69" s="1204">
        <v>5272</v>
      </c>
      <c r="Q69" s="679">
        <f t="shared" si="7"/>
        <v>93.77006929187088</v>
      </c>
      <c r="R69" s="679">
        <f t="shared" si="7"/>
        <v>92.08326762340324</v>
      </c>
      <c r="S69" s="1219"/>
      <c r="T69" s="1213"/>
      <c r="U69" s="1213"/>
    </row>
    <row r="70" spans="1:22" s="218" customFormat="1" ht="16.5" customHeight="1">
      <c r="A70" s="1227"/>
      <c r="B70" s="1231" t="s">
        <v>616</v>
      </c>
      <c r="C70" s="1250" t="s">
        <v>19</v>
      </c>
      <c r="D70" s="1251">
        <f>D69/D67%</f>
        <v>37.0777099798695</v>
      </c>
      <c r="E70" s="1251">
        <f aca="true" t="shared" si="8" ref="E70:P70">E69/E67%</f>
        <v>33.9692962316711</v>
      </c>
      <c r="F70" s="1251">
        <f t="shared" si="8"/>
        <v>30.66678671378516</v>
      </c>
      <c r="G70" s="1251">
        <f t="shared" si="8"/>
        <v>0.2321981424148607</v>
      </c>
      <c r="H70" s="1251">
        <f t="shared" si="8"/>
        <v>6.0233558696988325</v>
      </c>
      <c r="I70" s="1251">
        <f t="shared" si="8"/>
        <v>14.479377958079784</v>
      </c>
      <c r="J70" s="1251">
        <f t="shared" si="8"/>
        <v>36.47305879942635</v>
      </c>
      <c r="K70" s="1251">
        <f t="shared" si="8"/>
        <v>27.93078456242073</v>
      </c>
      <c r="L70" s="1251">
        <f t="shared" si="8"/>
        <v>43.86465905157494</v>
      </c>
      <c r="M70" s="1251">
        <f t="shared" si="8"/>
        <v>49.258872651356995</v>
      </c>
      <c r="N70" s="1251">
        <f t="shared" si="8"/>
        <v>54.27251732101616</v>
      </c>
      <c r="O70" s="1251">
        <f t="shared" si="8"/>
        <v>45.693300689962165</v>
      </c>
      <c r="P70" s="1251">
        <f t="shared" si="8"/>
        <v>49.39567132015366</v>
      </c>
      <c r="Q70" s="682">
        <f>E70-D70</f>
        <v>-3.1084137481984015</v>
      </c>
      <c r="R70" s="682">
        <f>F70-E70</f>
        <v>-3.302509517885941</v>
      </c>
      <c r="S70" s="1252"/>
      <c r="T70" s="1253"/>
      <c r="U70" s="1254"/>
      <c r="V70" s="391"/>
    </row>
    <row r="71" spans="1:22" s="1213" customFormat="1" ht="16.5" customHeight="1">
      <c r="A71" s="661">
        <v>4</v>
      </c>
      <c r="B71" s="1230" t="s">
        <v>126</v>
      </c>
      <c r="C71" s="1255" t="s">
        <v>615</v>
      </c>
      <c r="D71" s="1204">
        <v>7285</v>
      </c>
      <c r="E71" s="1204">
        <v>6200</v>
      </c>
      <c r="F71" s="1204">
        <v>6550</v>
      </c>
      <c r="G71" s="1204">
        <v>9</v>
      </c>
      <c r="H71" s="1204">
        <v>29</v>
      </c>
      <c r="I71" s="1204">
        <v>1300</v>
      </c>
      <c r="J71" s="1204">
        <v>1100</v>
      </c>
      <c r="K71" s="1204">
        <v>500</v>
      </c>
      <c r="L71" s="1204">
        <v>800</v>
      </c>
      <c r="M71" s="1204">
        <v>600</v>
      </c>
      <c r="N71" s="1204">
        <v>650</v>
      </c>
      <c r="O71" s="1204">
        <v>900</v>
      </c>
      <c r="P71" s="1204">
        <v>662</v>
      </c>
      <c r="Q71" s="679">
        <f t="shared" si="7"/>
        <v>85.10638297872342</v>
      </c>
      <c r="R71" s="679">
        <f t="shared" si="7"/>
        <v>105.64516129032258</v>
      </c>
      <c r="S71" s="1214"/>
      <c r="T71" s="1256"/>
      <c r="U71" s="1257"/>
      <c r="V71" s="1316"/>
    </row>
    <row r="72" spans="1:19" s="1213" customFormat="1" ht="16.5" customHeight="1">
      <c r="A72" s="661">
        <v>5</v>
      </c>
      <c r="B72" s="1230" t="s">
        <v>1113</v>
      </c>
      <c r="C72" s="1255" t="s">
        <v>615</v>
      </c>
      <c r="D72" s="1204">
        <v>3433</v>
      </c>
      <c r="E72" s="1204">
        <v>3251</v>
      </c>
      <c r="F72" s="1204">
        <v>3036</v>
      </c>
      <c r="G72" s="1204">
        <v>5</v>
      </c>
      <c r="H72" s="1204">
        <v>10</v>
      </c>
      <c r="I72" s="1204">
        <v>902</v>
      </c>
      <c r="J72" s="1204">
        <v>396</v>
      </c>
      <c r="K72" s="1204">
        <v>119</v>
      </c>
      <c r="L72" s="1204">
        <v>419</v>
      </c>
      <c r="M72" s="1204">
        <v>245</v>
      </c>
      <c r="N72" s="1204">
        <v>335</v>
      </c>
      <c r="O72" s="1204">
        <v>401</v>
      </c>
      <c r="P72" s="1204">
        <v>204</v>
      </c>
      <c r="Q72" s="679">
        <f t="shared" si="7"/>
        <v>94.69851441887562</v>
      </c>
      <c r="R72" s="679">
        <f t="shared" si="7"/>
        <v>93.38665026145802</v>
      </c>
      <c r="S72" s="1219"/>
    </row>
    <row r="73" spans="1:21" s="214" customFormat="1" ht="16.5" customHeight="1">
      <c r="A73" s="661">
        <v>6</v>
      </c>
      <c r="B73" s="1230" t="s">
        <v>124</v>
      </c>
      <c r="C73" s="1255" t="s">
        <v>615</v>
      </c>
      <c r="D73" s="1204">
        <v>12483</v>
      </c>
      <c r="E73" s="1204">
        <v>9945</v>
      </c>
      <c r="F73" s="1204">
        <v>8435</v>
      </c>
      <c r="G73" s="710">
        <v>20</v>
      </c>
      <c r="H73" s="710">
        <v>15</v>
      </c>
      <c r="I73" s="1204">
        <v>3000</v>
      </c>
      <c r="J73" s="1204">
        <v>1800</v>
      </c>
      <c r="K73" s="1204">
        <v>800</v>
      </c>
      <c r="L73" s="1204">
        <v>900</v>
      </c>
      <c r="M73" s="1204">
        <v>600</v>
      </c>
      <c r="N73" s="1204">
        <v>200</v>
      </c>
      <c r="O73" s="1204">
        <v>650</v>
      </c>
      <c r="P73" s="1204">
        <v>450</v>
      </c>
      <c r="Q73" s="679">
        <f t="shared" si="7"/>
        <v>79.66834895457822</v>
      </c>
      <c r="R73" s="679">
        <f t="shared" si="7"/>
        <v>84.81649069884364</v>
      </c>
      <c r="S73" s="1219"/>
      <c r="T73" s="1213"/>
      <c r="U73" s="1213"/>
    </row>
    <row r="74" spans="1:21" s="218" customFormat="1" ht="16.5" customHeight="1">
      <c r="A74" s="1227"/>
      <c r="B74" s="1231" t="s">
        <v>1095</v>
      </c>
      <c r="C74" s="1250" t="s">
        <v>19</v>
      </c>
      <c r="D74" s="1207">
        <f>D73/D67%</f>
        <v>9.777781259056765</v>
      </c>
      <c r="E74" s="1207">
        <f>E73/E67%</f>
        <v>7.6108917255946364</v>
      </c>
      <c r="F74" s="1207">
        <f aca="true" t="shared" si="9" ref="F74:P74">F73/F67%</f>
        <v>6.328734028106032</v>
      </c>
      <c r="G74" s="1207">
        <f t="shared" si="9"/>
        <v>0.12899896800825594</v>
      </c>
      <c r="H74" s="1207">
        <f t="shared" si="9"/>
        <v>0.46097111247695144</v>
      </c>
      <c r="I74" s="1207">
        <f t="shared" si="9"/>
        <v>10.141987829614605</v>
      </c>
      <c r="J74" s="1207">
        <f t="shared" si="9"/>
        <v>9.21942224953903</v>
      </c>
      <c r="K74" s="1207">
        <f t="shared" si="9"/>
        <v>7.247689798876609</v>
      </c>
      <c r="L74" s="1207">
        <f t="shared" si="9"/>
        <v>7.78816199376947</v>
      </c>
      <c r="M74" s="1207">
        <f t="shared" si="9"/>
        <v>6.263048016701462</v>
      </c>
      <c r="N74" s="1207">
        <f t="shared" si="9"/>
        <v>2.1994941163532387</v>
      </c>
      <c r="O74" s="1207">
        <f t="shared" si="9"/>
        <v>4.822316195563469</v>
      </c>
      <c r="P74" s="1207">
        <f t="shared" si="9"/>
        <v>4.216246603579124</v>
      </c>
      <c r="Q74" s="682">
        <f>E74-D74</f>
        <v>-2.166889533462128</v>
      </c>
      <c r="R74" s="1208">
        <f>F74-E74</f>
        <v>-1.2821576974886044</v>
      </c>
      <c r="S74" s="1258"/>
      <c r="T74" s="1229"/>
      <c r="U74" s="1229"/>
    </row>
    <row r="75" spans="1:21" s="214" customFormat="1" ht="16.5" customHeight="1">
      <c r="A75" s="661">
        <v>7</v>
      </c>
      <c r="B75" s="1230" t="s">
        <v>1096</v>
      </c>
      <c r="C75" s="1255" t="s">
        <v>19</v>
      </c>
      <c r="D75" s="1209">
        <v>45.98</v>
      </c>
      <c r="E75" s="1209">
        <v>41.5</v>
      </c>
      <c r="F75" s="1209">
        <v>38.8</v>
      </c>
      <c r="G75" s="1204"/>
      <c r="H75" s="1204"/>
      <c r="I75" s="1204"/>
      <c r="J75" s="1204"/>
      <c r="K75" s="1204"/>
      <c r="L75" s="1204"/>
      <c r="M75" s="1204"/>
      <c r="N75" s="1204"/>
      <c r="O75" s="1204"/>
      <c r="P75" s="1204"/>
      <c r="Q75" s="682">
        <f>E75-D75</f>
        <v>-4.479999999999997</v>
      </c>
      <c r="R75" s="1208">
        <f>F75-E75</f>
        <v>-2.700000000000003</v>
      </c>
      <c r="S75" s="1219"/>
      <c r="T75" s="1213"/>
      <c r="U75" s="1213"/>
    </row>
    <row r="76" spans="1:21" s="217" customFormat="1" ht="16.5" customHeight="1">
      <c r="A76" s="1221" t="s">
        <v>617</v>
      </c>
      <c r="B76" s="1238" t="s">
        <v>1012</v>
      </c>
      <c r="C76" s="1221"/>
      <c r="D76" s="613"/>
      <c r="E76" s="613"/>
      <c r="F76" s="710"/>
      <c r="G76" s="613"/>
      <c r="H76" s="1224"/>
      <c r="I76" s="613"/>
      <c r="J76" s="613"/>
      <c r="K76" s="613"/>
      <c r="L76" s="613"/>
      <c r="M76" s="613"/>
      <c r="N76" s="613"/>
      <c r="O76" s="613"/>
      <c r="P76" s="613"/>
      <c r="Q76" s="1246"/>
      <c r="R76" s="1246"/>
      <c r="S76" s="1226"/>
      <c r="T76" s="1226"/>
      <c r="U76" s="1226"/>
    </row>
    <row r="77" spans="1:31" s="217" customFormat="1" ht="25.5">
      <c r="A77" s="1221">
        <v>1</v>
      </c>
      <c r="B77" s="1238" t="s">
        <v>1013</v>
      </c>
      <c r="C77" s="1221" t="s">
        <v>185</v>
      </c>
      <c r="D77" s="1212">
        <v>39596</v>
      </c>
      <c r="E77" s="1212">
        <v>40597.774</v>
      </c>
      <c r="F77" s="1212">
        <v>42173</v>
      </c>
      <c r="G77" s="1212">
        <v>15350</v>
      </c>
      <c r="H77" s="1212">
        <v>792</v>
      </c>
      <c r="I77" s="1212">
        <v>5121</v>
      </c>
      <c r="J77" s="1212">
        <v>4228</v>
      </c>
      <c r="K77" s="1212">
        <v>2208</v>
      </c>
      <c r="L77" s="1212">
        <v>2940</v>
      </c>
      <c r="M77" s="1212">
        <v>2836</v>
      </c>
      <c r="N77" s="1212">
        <v>2486</v>
      </c>
      <c r="O77" s="1212">
        <v>3132</v>
      </c>
      <c r="P77" s="1212">
        <v>3080</v>
      </c>
      <c r="Q77" s="1239">
        <f>E77/D77%</f>
        <v>102.52998787756339</v>
      </c>
      <c r="R77" s="1239">
        <f>F77/E77%</f>
        <v>103.8800797304798</v>
      </c>
      <c r="S77" s="1226"/>
      <c r="T77" s="1226"/>
      <c r="U77" s="1259"/>
      <c r="V77" s="389"/>
      <c r="W77" s="389"/>
      <c r="X77" s="389"/>
      <c r="Y77" s="389"/>
      <c r="Z77" s="389"/>
      <c r="AA77" s="389"/>
      <c r="AB77" s="389"/>
      <c r="AC77" s="389"/>
      <c r="AD77" s="389"/>
      <c r="AE77" s="389"/>
    </row>
    <row r="78" spans="1:21" s="217" customFormat="1" ht="25.5">
      <c r="A78" s="1221"/>
      <c r="B78" s="1238" t="s">
        <v>1014</v>
      </c>
      <c r="C78" s="1260" t="s">
        <v>185</v>
      </c>
      <c r="D78" s="1212">
        <v>38302</v>
      </c>
      <c r="E78" s="1212">
        <v>39355</v>
      </c>
      <c r="F78" s="1212">
        <v>41145.20447008659</v>
      </c>
      <c r="G78" s="1212">
        <v>14976.40179489979</v>
      </c>
      <c r="H78" s="1212">
        <v>773.4521510926794</v>
      </c>
      <c r="I78" s="1212">
        <v>4995.715854288705</v>
      </c>
      <c r="J78" s="1212">
        <v>4125.316249334446</v>
      </c>
      <c r="K78" s="1212">
        <v>2154.212908265901</v>
      </c>
      <c r="L78" s="1212">
        <v>2867.9515286939854</v>
      </c>
      <c r="M78" s="1212">
        <v>2767.047585568038</v>
      </c>
      <c r="N78" s="1212">
        <v>2424.5915826625783</v>
      </c>
      <c r="O78" s="1212">
        <v>3055.7663843788737</v>
      </c>
      <c r="P78" s="1212">
        <v>3004.7484309015936</v>
      </c>
      <c r="Q78" s="1239">
        <f>E78/D78%</f>
        <v>102.74920369693488</v>
      </c>
      <c r="R78" s="1239">
        <f>F78/E78%</f>
        <v>104.54886156800048</v>
      </c>
      <c r="S78" s="1261"/>
      <c r="T78" s="1262"/>
      <c r="U78" s="1226"/>
    </row>
    <row r="79" spans="1:21" s="218" customFormat="1" ht="16.5" customHeight="1">
      <c r="A79" s="1227"/>
      <c r="B79" s="1231" t="s">
        <v>991</v>
      </c>
      <c r="C79" s="1250" t="s">
        <v>19</v>
      </c>
      <c r="D79" s="1251">
        <f>D78/D77%</f>
        <v>96.73199313061926</v>
      </c>
      <c r="E79" s="1251">
        <f aca="true" t="shared" si="10" ref="E79:P79">E78/E77%</f>
        <v>96.93881245804265</v>
      </c>
      <c r="F79" s="1251">
        <f t="shared" si="10"/>
        <v>97.56290629096006</v>
      </c>
      <c r="G79" s="1251">
        <f t="shared" si="10"/>
        <v>97.56613547165986</v>
      </c>
      <c r="H79" s="1251">
        <f t="shared" si="10"/>
        <v>97.65809988543931</v>
      </c>
      <c r="I79" s="1251">
        <f t="shared" si="10"/>
        <v>97.5535218568386</v>
      </c>
      <c r="J79" s="1251">
        <f t="shared" si="10"/>
        <v>97.57133986126883</v>
      </c>
      <c r="K79" s="1251">
        <f t="shared" si="10"/>
        <v>97.56399041059336</v>
      </c>
      <c r="L79" s="1251">
        <f t="shared" si="10"/>
        <v>97.54937172428522</v>
      </c>
      <c r="M79" s="1251">
        <f t="shared" si="10"/>
        <v>97.56867368011417</v>
      </c>
      <c r="N79" s="1251">
        <f t="shared" si="10"/>
        <v>97.52983035649953</v>
      </c>
      <c r="O79" s="1251">
        <f t="shared" si="10"/>
        <v>97.56597651273543</v>
      </c>
      <c r="P79" s="1251">
        <f t="shared" si="10"/>
        <v>97.55676723706472</v>
      </c>
      <c r="Q79" s="1263">
        <f>E79-D79</f>
        <v>0.20681932742338915</v>
      </c>
      <c r="R79" s="1263">
        <f>F79-E79</f>
        <v>0.6240938329174099</v>
      </c>
      <c r="S79" s="1258"/>
      <c r="T79" s="1264"/>
      <c r="U79" s="1229"/>
    </row>
    <row r="80" spans="1:21" s="218" customFormat="1" ht="25.5">
      <c r="A80" s="1227"/>
      <c r="B80" s="1231" t="s">
        <v>1015</v>
      </c>
      <c r="C80" s="1250" t="s">
        <v>19</v>
      </c>
      <c r="D80" s="1251"/>
      <c r="E80" s="1251">
        <v>102.74920369693487</v>
      </c>
      <c r="F80" s="1251">
        <v>104.54886156800048</v>
      </c>
      <c r="G80" s="1251"/>
      <c r="H80" s="1251"/>
      <c r="I80" s="1251"/>
      <c r="J80" s="1251"/>
      <c r="K80" s="1251"/>
      <c r="L80" s="1251"/>
      <c r="M80" s="1251"/>
      <c r="N80" s="1251"/>
      <c r="O80" s="1251"/>
      <c r="P80" s="1251"/>
      <c r="Q80" s="1265"/>
      <c r="R80" s="1263">
        <f>F80-E80</f>
        <v>1.7996578710656053</v>
      </c>
      <c r="S80" s="1258"/>
      <c r="T80" s="1264"/>
      <c r="U80" s="1229"/>
    </row>
    <row r="81" spans="1:21" s="226" customFormat="1" ht="25.5">
      <c r="A81" s="1221">
        <v>2</v>
      </c>
      <c r="B81" s="1238" t="s">
        <v>1016</v>
      </c>
      <c r="C81" s="1260" t="s">
        <v>185</v>
      </c>
      <c r="D81" s="1212">
        <v>29800</v>
      </c>
      <c r="E81" s="1212">
        <v>30590</v>
      </c>
      <c r="F81" s="1211">
        <v>34128</v>
      </c>
      <c r="G81" s="1211">
        <v>13175</v>
      </c>
      <c r="H81" s="1211">
        <v>742</v>
      </c>
      <c r="I81" s="1211">
        <v>4207</v>
      </c>
      <c r="J81" s="1211">
        <v>3529</v>
      </c>
      <c r="K81" s="1211">
        <v>1717</v>
      </c>
      <c r="L81" s="1211">
        <v>1950</v>
      </c>
      <c r="M81" s="1211">
        <v>2237</v>
      </c>
      <c r="N81" s="1211">
        <v>1851</v>
      </c>
      <c r="O81" s="1211">
        <v>2431</v>
      </c>
      <c r="P81" s="1211">
        <v>2289</v>
      </c>
      <c r="Q81" s="1266">
        <f>E81/D81%</f>
        <v>102.6510067114094</v>
      </c>
      <c r="R81" s="1266">
        <f>F81/E81%</f>
        <v>111.56587119973848</v>
      </c>
      <c r="S81" s="1261"/>
      <c r="T81" s="1262"/>
      <c r="U81" s="1267"/>
    </row>
    <row r="82" spans="1:21" s="214" customFormat="1" ht="25.5">
      <c r="A82" s="661"/>
      <c r="B82" s="1238" t="s">
        <v>1017</v>
      </c>
      <c r="C82" s="1255" t="s">
        <v>185</v>
      </c>
      <c r="D82" s="1212">
        <v>28865</v>
      </c>
      <c r="E82" s="1212">
        <v>29928</v>
      </c>
      <c r="F82" s="1212">
        <v>33419</v>
      </c>
      <c r="G82" s="1212">
        <v>12620</v>
      </c>
      <c r="H82" s="1212">
        <v>718</v>
      </c>
      <c r="I82" s="1212">
        <v>4185</v>
      </c>
      <c r="J82" s="1212">
        <v>3512</v>
      </c>
      <c r="K82" s="1212">
        <v>1704</v>
      </c>
      <c r="L82" s="1212">
        <v>1933.8744257218239</v>
      </c>
      <c r="M82" s="1212">
        <v>2213</v>
      </c>
      <c r="N82" s="1212">
        <v>1846.6870683354723</v>
      </c>
      <c r="O82" s="1212">
        <v>2412</v>
      </c>
      <c r="P82" s="1212">
        <v>2274</v>
      </c>
      <c r="Q82" s="1266">
        <f>E82/D82%</f>
        <v>103.68266066170104</v>
      </c>
      <c r="R82" s="1266">
        <f>F82/E82%</f>
        <v>111.66466185511896</v>
      </c>
      <c r="S82" s="1219"/>
      <c r="T82" s="1268"/>
      <c r="U82" s="1213"/>
    </row>
    <row r="83" spans="1:21" s="218" customFormat="1" ht="25.5">
      <c r="A83" s="1227"/>
      <c r="B83" s="1231" t="s">
        <v>992</v>
      </c>
      <c r="C83" s="1250" t="s">
        <v>19</v>
      </c>
      <c r="D83" s="1251">
        <f>D82/D81%</f>
        <v>96.86241610738254</v>
      </c>
      <c r="E83" s="1251">
        <f aca="true" t="shared" si="11" ref="E83:P83">E82/E81%</f>
        <v>97.83589408303368</v>
      </c>
      <c r="F83" s="1251">
        <f t="shared" si="11"/>
        <v>97.9225269573371</v>
      </c>
      <c r="G83" s="1251">
        <f t="shared" si="11"/>
        <v>95.78747628083491</v>
      </c>
      <c r="H83" s="1251">
        <f t="shared" si="11"/>
        <v>96.7654986522911</v>
      </c>
      <c r="I83" s="1251">
        <f t="shared" si="11"/>
        <v>99.47706203945805</v>
      </c>
      <c r="J83" s="1251">
        <f t="shared" si="11"/>
        <v>99.5182771323321</v>
      </c>
      <c r="K83" s="1251">
        <f t="shared" si="11"/>
        <v>99.24286546301688</v>
      </c>
      <c r="L83" s="1251">
        <f t="shared" si="11"/>
        <v>99.17304747291405</v>
      </c>
      <c r="M83" s="1251">
        <f t="shared" si="11"/>
        <v>98.92713455520786</v>
      </c>
      <c r="N83" s="1251">
        <f t="shared" si="11"/>
        <v>99.76699450758899</v>
      </c>
      <c r="O83" s="1251">
        <f t="shared" si="11"/>
        <v>99.21842863019334</v>
      </c>
      <c r="P83" s="1251">
        <f t="shared" si="11"/>
        <v>99.34469200524246</v>
      </c>
      <c r="Q83" s="1263">
        <f>E83-D83</f>
        <v>0.9734779756511358</v>
      </c>
      <c r="R83" s="1263">
        <f>F83-E83</f>
        <v>0.08663287430341882</v>
      </c>
      <c r="S83" s="1258"/>
      <c r="T83" s="1264"/>
      <c r="U83" s="1229"/>
    </row>
    <row r="84" spans="1:21" s="390" customFormat="1" ht="25.5">
      <c r="A84" s="1227"/>
      <c r="B84" s="1231" t="s">
        <v>1018</v>
      </c>
      <c r="C84" s="1250" t="s">
        <v>19</v>
      </c>
      <c r="D84" s="1251"/>
      <c r="E84" s="1251">
        <v>103.68266066170102</v>
      </c>
      <c r="F84" s="1251">
        <v>111.6966101779514</v>
      </c>
      <c r="G84" s="1251"/>
      <c r="H84" s="1251"/>
      <c r="I84" s="1251"/>
      <c r="J84" s="1251"/>
      <c r="K84" s="1251"/>
      <c r="L84" s="1251"/>
      <c r="M84" s="1251"/>
      <c r="N84" s="1251"/>
      <c r="O84" s="1251"/>
      <c r="P84" s="1251"/>
      <c r="Q84" s="1265"/>
      <c r="R84" s="1263">
        <f>F84-E84</f>
        <v>8.013949516250378</v>
      </c>
      <c r="S84" s="1258"/>
      <c r="T84" s="1264"/>
      <c r="U84" s="1252"/>
    </row>
    <row r="85" spans="1:21" s="221" customFormat="1" ht="25.5">
      <c r="A85" s="1221">
        <v>3</v>
      </c>
      <c r="B85" s="1238" t="s">
        <v>1019</v>
      </c>
      <c r="C85" s="1260" t="s">
        <v>185</v>
      </c>
      <c r="D85" s="1212">
        <v>289355</v>
      </c>
      <c r="E85" s="1212">
        <v>300813</v>
      </c>
      <c r="F85" s="1212">
        <v>303354</v>
      </c>
      <c r="G85" s="1212">
        <v>18469</v>
      </c>
      <c r="H85" s="1212">
        <v>5603</v>
      </c>
      <c r="I85" s="1212">
        <v>63978</v>
      </c>
      <c r="J85" s="1212">
        <v>46672</v>
      </c>
      <c r="K85" s="1212">
        <v>25874</v>
      </c>
      <c r="L85" s="1212">
        <v>30055</v>
      </c>
      <c r="M85" s="1212">
        <v>24896</v>
      </c>
      <c r="N85" s="1212">
        <v>23903</v>
      </c>
      <c r="O85" s="1212">
        <v>35160</v>
      </c>
      <c r="P85" s="1212">
        <v>28744</v>
      </c>
      <c r="Q85" s="1266">
        <f>E85/D85%</f>
        <v>103.95984171692211</v>
      </c>
      <c r="R85" s="1266">
        <f>F85/E85%</f>
        <v>100.84471083364083</v>
      </c>
      <c r="S85" s="1261"/>
      <c r="T85" s="1262"/>
      <c r="U85" s="642"/>
    </row>
    <row r="86" spans="1:21" ht="25.5">
      <c r="A86" s="661"/>
      <c r="B86" s="1238" t="s">
        <v>1020</v>
      </c>
      <c r="C86" s="1255" t="s">
        <v>185</v>
      </c>
      <c r="D86" s="1212">
        <v>2255</v>
      </c>
      <c r="E86" s="1212">
        <v>4599</v>
      </c>
      <c r="F86" s="1212">
        <v>6152</v>
      </c>
      <c r="G86" s="1212">
        <v>1038</v>
      </c>
      <c r="H86" s="1212">
        <v>510</v>
      </c>
      <c r="I86" s="1212">
        <v>1427</v>
      </c>
      <c r="J86" s="1212">
        <v>785</v>
      </c>
      <c r="K86" s="1212">
        <v>428</v>
      </c>
      <c r="L86" s="1212">
        <v>357</v>
      </c>
      <c r="M86" s="1212">
        <v>552</v>
      </c>
      <c r="N86" s="1212">
        <v>365</v>
      </c>
      <c r="O86" s="1212">
        <v>340</v>
      </c>
      <c r="P86" s="1212">
        <v>350</v>
      </c>
      <c r="Q86" s="1266">
        <f>E86/D86%</f>
        <v>203.94678492239467</v>
      </c>
      <c r="R86" s="1266">
        <f>F86/E86%</f>
        <v>133.76821048053924</v>
      </c>
      <c r="S86" s="1219"/>
      <c r="T86" s="1268"/>
      <c r="U86" s="1214"/>
    </row>
    <row r="87" spans="1:21" s="390" customFormat="1" ht="15.75" customHeight="1">
      <c r="A87" s="1227"/>
      <c r="B87" s="1231" t="s">
        <v>993</v>
      </c>
      <c r="C87" s="1250" t="s">
        <v>19</v>
      </c>
      <c r="D87" s="1251">
        <f>D86/D85%</f>
        <v>0.7793195210036115</v>
      </c>
      <c r="E87" s="1251">
        <f aca="true" t="shared" si="12" ref="E87:P87">E86/E85%</f>
        <v>1.5288567980772108</v>
      </c>
      <c r="F87" s="1251">
        <f t="shared" si="12"/>
        <v>2.027993697132723</v>
      </c>
      <c r="G87" s="1251">
        <f t="shared" si="12"/>
        <v>5.620228490984894</v>
      </c>
      <c r="H87" s="1251">
        <f t="shared" si="12"/>
        <v>9.10226664286989</v>
      </c>
      <c r="I87" s="1251">
        <f t="shared" si="12"/>
        <v>2.230454218637657</v>
      </c>
      <c r="J87" s="1251">
        <f t="shared" si="12"/>
        <v>1.6819506342132327</v>
      </c>
      <c r="K87" s="1251">
        <f t="shared" si="12"/>
        <v>1.6541702094766948</v>
      </c>
      <c r="L87" s="1251">
        <f t="shared" si="12"/>
        <v>1.1878223257361504</v>
      </c>
      <c r="M87" s="1251">
        <f t="shared" si="12"/>
        <v>2.217223650385604</v>
      </c>
      <c r="N87" s="1251">
        <f t="shared" si="12"/>
        <v>1.5270049784545874</v>
      </c>
      <c r="O87" s="1251">
        <f t="shared" si="12"/>
        <v>0.9670079635949943</v>
      </c>
      <c r="P87" s="1251">
        <f t="shared" si="12"/>
        <v>1.2176454216532147</v>
      </c>
      <c r="Q87" s="1263">
        <f>E87-D87</f>
        <v>0.7495372770735993</v>
      </c>
      <c r="R87" s="1263">
        <f>F87-E87</f>
        <v>0.4991368990555123</v>
      </c>
      <c r="S87" s="1258"/>
      <c r="T87" s="1264"/>
      <c r="U87" s="1252"/>
    </row>
    <row r="88" spans="1:21" s="390" customFormat="1" ht="25.5">
      <c r="A88" s="1227"/>
      <c r="B88" s="1231" t="s">
        <v>1021</v>
      </c>
      <c r="C88" s="1250" t="s">
        <v>19</v>
      </c>
      <c r="D88" s="1251"/>
      <c r="E88" s="1269">
        <v>203.9467849223947</v>
      </c>
      <c r="F88" s="1269">
        <v>133.76821048053924</v>
      </c>
      <c r="G88" s="1269"/>
      <c r="H88" s="1269"/>
      <c r="I88" s="1269"/>
      <c r="J88" s="1269"/>
      <c r="K88" s="1269"/>
      <c r="L88" s="1269"/>
      <c r="M88" s="1269"/>
      <c r="N88" s="1269"/>
      <c r="O88" s="1269"/>
      <c r="P88" s="1269"/>
      <c r="Q88" s="1265"/>
      <c r="R88" s="1263">
        <f>F88-E88</f>
        <v>-70.17857444185546</v>
      </c>
      <c r="S88" s="1258"/>
      <c r="T88" s="1264"/>
      <c r="U88" s="1252"/>
    </row>
  </sheetData>
  <sheetProtection/>
  <mergeCells count="52">
    <mergeCell ref="E5:E7"/>
    <mergeCell ref="F5:F7"/>
    <mergeCell ref="J6:J7"/>
    <mergeCell ref="K6:K7"/>
    <mergeCell ref="P6:P7"/>
    <mergeCell ref="Q6:Q7"/>
    <mergeCell ref="N6:N7"/>
    <mergeCell ref="O6:O7"/>
    <mergeCell ref="IO3:IV3"/>
    <mergeCell ref="A4:P4"/>
    <mergeCell ref="A5:A7"/>
    <mergeCell ref="B5:B7"/>
    <mergeCell ref="C5:C7"/>
    <mergeCell ref="D5:D7"/>
    <mergeCell ref="G5:P5"/>
    <mergeCell ref="Q5:R5"/>
    <mergeCell ref="L6:L7"/>
    <mergeCell ref="M6:M7"/>
    <mergeCell ref="R6:R7"/>
    <mergeCell ref="G6:G7"/>
    <mergeCell ref="H6:H7"/>
    <mergeCell ref="I6:I7"/>
    <mergeCell ref="FU3:GB3"/>
    <mergeCell ref="GC3:GJ3"/>
    <mergeCell ref="AW3:BD3"/>
    <mergeCell ref="GS3:GZ3"/>
    <mergeCell ref="HA3:HH3"/>
    <mergeCell ref="BM3:BT3"/>
    <mergeCell ref="BU3:CB3"/>
    <mergeCell ref="CC3:CJ3"/>
    <mergeCell ref="CK3:CR3"/>
    <mergeCell ref="CS3:CZ3"/>
    <mergeCell ref="HY3:IF3"/>
    <mergeCell ref="IG3:IN3"/>
    <mergeCell ref="GK3:GR3"/>
    <mergeCell ref="DA3:DH3"/>
    <mergeCell ref="DI3:DP3"/>
    <mergeCell ref="DQ3:DX3"/>
    <mergeCell ref="DY3:EF3"/>
    <mergeCell ref="EG3:EN3"/>
    <mergeCell ref="EO3:EV3"/>
    <mergeCell ref="EW3:FD3"/>
    <mergeCell ref="HI3:HP3"/>
    <mergeCell ref="HQ3:HX3"/>
    <mergeCell ref="A2:R2"/>
    <mergeCell ref="A3:R3"/>
    <mergeCell ref="Y3:AF3"/>
    <mergeCell ref="AG3:AN3"/>
    <mergeCell ref="AO3:AV3"/>
    <mergeCell ref="BE3:BL3"/>
    <mergeCell ref="FE3:FL3"/>
    <mergeCell ref="FM3:FT3"/>
  </mergeCells>
  <printOptions horizontalCentered="1"/>
  <pageMargins left="0.33" right="0.1968503937007874" top="0.64" bottom="0.46" header="0.1968503937007874" footer="0.19"/>
  <pageSetup horizontalDpi="600" verticalDpi="600" orientation="landscape" paperSize="9" scale="95" r:id="rId1"/>
  <headerFooter alignWithMargins="0">
    <oddFooter>&amp;C &amp;P/&amp;N</oddFooter>
  </headerFooter>
  <colBreaks count="1" manualBreakCount="1">
    <brk id="18" max="71" man="1"/>
  </colBreaks>
</worksheet>
</file>

<file path=xl/worksheets/sheet7.xml><?xml version="1.0" encoding="utf-8"?>
<worksheet xmlns="http://schemas.openxmlformats.org/spreadsheetml/2006/main" xmlns:r="http://schemas.openxmlformats.org/officeDocument/2006/relationships">
  <sheetPr>
    <tabColor rgb="FFFF0000"/>
  </sheetPr>
  <dimension ref="A1:I138"/>
  <sheetViews>
    <sheetView view="pageBreakPreview" zoomScaleNormal="85" zoomScaleSheetLayoutView="100" zoomScalePageLayoutView="0" workbookViewId="0" topLeftCell="A1">
      <selection activeCell="H8" sqref="H8"/>
    </sheetView>
  </sheetViews>
  <sheetFormatPr defaultColWidth="8.625" defaultRowHeight="15.75"/>
  <cols>
    <col min="1" max="1" width="4.125" style="223" customWidth="1"/>
    <col min="2" max="2" width="37.875" style="223" customWidth="1"/>
    <col min="3" max="3" width="9.00390625" style="223" customWidth="1"/>
    <col min="4" max="4" width="9.00390625" style="223" hidden="1" customWidth="1"/>
    <col min="5" max="5" width="9.00390625" style="223" customWidth="1"/>
    <col min="6" max="6" width="8.00390625" style="223" hidden="1" customWidth="1"/>
    <col min="7" max="7" width="7.875" style="223" customWidth="1"/>
    <col min="8" max="13" width="9.00390625" style="223" customWidth="1"/>
    <col min="14" max="16384" width="8.625" style="223" customWidth="1"/>
  </cols>
  <sheetData>
    <row r="1" spans="1:9" ht="16.5">
      <c r="A1" s="221" t="s">
        <v>618</v>
      </c>
      <c r="B1" s="222"/>
      <c r="C1" s="222"/>
      <c r="D1" s="222"/>
      <c r="E1" s="222"/>
      <c r="F1" s="222"/>
      <c r="G1" s="222"/>
      <c r="H1" s="222"/>
      <c r="I1" s="222"/>
    </row>
    <row r="2" spans="1:9" ht="16.5">
      <c r="A2" s="1413" t="s">
        <v>1297</v>
      </c>
      <c r="B2" s="1413"/>
      <c r="C2" s="1413"/>
      <c r="D2" s="1413"/>
      <c r="E2" s="1413"/>
      <c r="F2" s="1413"/>
      <c r="G2" s="1413"/>
      <c r="H2" s="1413"/>
      <c r="I2" s="1413"/>
    </row>
    <row r="3" spans="1:9" ht="15.75">
      <c r="A3" s="1414" t="s">
        <v>1399</v>
      </c>
      <c r="B3" s="1414"/>
      <c r="C3" s="1414"/>
      <c r="D3" s="1414"/>
      <c r="E3" s="1414"/>
      <c r="F3" s="1414"/>
      <c r="G3" s="1414"/>
      <c r="H3" s="1414"/>
      <c r="I3" s="1414"/>
    </row>
    <row r="4" spans="1:9" ht="17.25">
      <c r="A4" s="224"/>
      <c r="B4" s="224"/>
      <c r="C4" s="225"/>
      <c r="D4" s="225"/>
      <c r="E4" s="225"/>
      <c r="F4" s="225"/>
      <c r="G4" s="1426" t="s">
        <v>619</v>
      </c>
      <c r="H4" s="1426"/>
      <c r="I4" s="1426"/>
    </row>
    <row r="5" spans="1:9" ht="15.75">
      <c r="A5" s="1424" t="s">
        <v>620</v>
      </c>
      <c r="B5" s="1425" t="s">
        <v>621</v>
      </c>
      <c r="C5" s="1424" t="s">
        <v>1298</v>
      </c>
      <c r="D5" s="1202"/>
      <c r="E5" s="1424" t="s">
        <v>1295</v>
      </c>
      <c r="F5" s="1202"/>
      <c r="G5" s="1424" t="s">
        <v>1287</v>
      </c>
      <c r="H5" s="1427" t="s">
        <v>517</v>
      </c>
      <c r="I5" s="1428"/>
    </row>
    <row r="6" spans="1:9" ht="45.75" customHeight="1">
      <c r="A6" s="1424"/>
      <c r="B6" s="1425"/>
      <c r="C6" s="1424"/>
      <c r="D6" s="1202"/>
      <c r="E6" s="1424"/>
      <c r="F6" s="1202"/>
      <c r="G6" s="1424"/>
      <c r="H6" s="336" t="s">
        <v>1097</v>
      </c>
      <c r="I6" s="336" t="s">
        <v>1299</v>
      </c>
    </row>
    <row r="7" spans="1:9" s="211" customFormat="1" ht="15.75">
      <c r="A7" s="1202" t="s">
        <v>46</v>
      </c>
      <c r="B7" s="385" t="s">
        <v>1098</v>
      </c>
      <c r="C7" s="300">
        <v>4</v>
      </c>
      <c r="D7" s="300"/>
      <c r="E7" s="300">
        <v>4</v>
      </c>
      <c r="F7" s="300"/>
      <c r="G7" s="300">
        <v>4</v>
      </c>
      <c r="H7" s="386"/>
      <c r="I7" s="386"/>
    </row>
    <row r="8" spans="1:9" s="211" customFormat="1" ht="15.75">
      <c r="A8" s="1203" t="s">
        <v>88</v>
      </c>
      <c r="B8" s="387" t="s">
        <v>1099</v>
      </c>
      <c r="C8" s="1274">
        <f>SUM(C9:C15)</f>
        <v>11336</v>
      </c>
      <c r="D8" s="1274">
        <v>12470</v>
      </c>
      <c r="E8" s="1274">
        <f>SUM(E9:E15)</f>
        <v>11780</v>
      </c>
      <c r="F8" s="1306">
        <f>E8/D8%</f>
        <v>94.46672012830794</v>
      </c>
      <c r="G8" s="1274">
        <f>SUM(G9:G15)</f>
        <v>11695</v>
      </c>
      <c r="H8" s="343">
        <f aca="true" t="shared" si="0" ref="H8:H21">E8/C8%</f>
        <v>103.91672547635851</v>
      </c>
      <c r="I8" s="343">
        <f>G8/E8%</f>
        <v>99.27843803056028</v>
      </c>
    </row>
    <row r="9" spans="1:9" ht="15.75">
      <c r="A9" s="337"/>
      <c r="B9" s="301" t="s">
        <v>1022</v>
      </c>
      <c r="C9" s="1273">
        <f>C20+C31+C68</f>
        <v>291</v>
      </c>
      <c r="D9" s="1273">
        <v>540</v>
      </c>
      <c r="E9" s="1273">
        <f>E20+E31+E68</f>
        <v>371</v>
      </c>
      <c r="F9" s="1307">
        <f aca="true" t="shared" si="1" ref="F9:F15">E9/D9%</f>
        <v>68.7037037037037</v>
      </c>
      <c r="G9" s="1273">
        <f>G20+G31+G68</f>
        <v>500</v>
      </c>
      <c r="H9" s="345">
        <f t="shared" si="0"/>
        <v>127.49140893470789</v>
      </c>
      <c r="I9" s="345">
        <f aca="true" t="shared" si="2" ref="I9:I62">G9/E9%</f>
        <v>134.77088948787062</v>
      </c>
    </row>
    <row r="10" spans="1:9" ht="15.75">
      <c r="A10" s="337"/>
      <c r="B10" s="301" t="s">
        <v>1023</v>
      </c>
      <c r="C10" s="1273">
        <f>C22+C39+C70+C72</f>
        <v>161</v>
      </c>
      <c r="D10" s="1273">
        <v>485</v>
      </c>
      <c r="E10" s="1273">
        <f>E22+E39+E70+E72</f>
        <v>279</v>
      </c>
      <c r="F10" s="1307">
        <f t="shared" si="1"/>
        <v>57.52577319587629</v>
      </c>
      <c r="G10" s="1273">
        <f>G22+G39+G70+G72</f>
        <v>325</v>
      </c>
      <c r="H10" s="345">
        <f t="shared" si="0"/>
        <v>173.2919254658385</v>
      </c>
      <c r="I10" s="345">
        <f t="shared" si="2"/>
        <v>116.48745519713262</v>
      </c>
    </row>
    <row r="11" spans="1:9" ht="15.75">
      <c r="A11" s="337"/>
      <c r="B11" s="301" t="s">
        <v>1024</v>
      </c>
      <c r="C11" s="1273">
        <f>C53+C80</f>
        <v>218</v>
      </c>
      <c r="D11" s="1273">
        <v>420</v>
      </c>
      <c r="E11" s="1273">
        <f>E53+E80</f>
        <v>471</v>
      </c>
      <c r="F11" s="1307">
        <f t="shared" si="1"/>
        <v>112.14285714285714</v>
      </c>
      <c r="G11" s="1273">
        <f>G53+G80</f>
        <v>210</v>
      </c>
      <c r="H11" s="345">
        <f t="shared" si="0"/>
        <v>216.05504587155963</v>
      </c>
      <c r="I11" s="345">
        <f t="shared" si="2"/>
        <v>44.5859872611465</v>
      </c>
    </row>
    <row r="12" spans="1:9" ht="15.75">
      <c r="A12" s="337"/>
      <c r="B12" s="301" t="s">
        <v>1025</v>
      </c>
      <c r="C12" s="1273">
        <f>+C24+C58+C59+C74+C79</f>
        <v>1854</v>
      </c>
      <c r="D12" s="1273">
        <v>1850</v>
      </c>
      <c r="E12" s="1273">
        <f>+E24+E58+E59+E74+E79</f>
        <v>1986</v>
      </c>
      <c r="F12" s="1307">
        <f t="shared" si="1"/>
        <v>107.35135135135135</v>
      </c>
      <c r="G12" s="1273">
        <f>+G24+G58+G59+G74+G79</f>
        <v>1960</v>
      </c>
      <c r="H12" s="345">
        <f t="shared" si="0"/>
        <v>107.11974110032362</v>
      </c>
      <c r="I12" s="345">
        <f t="shared" si="2"/>
        <v>98.6908358509567</v>
      </c>
    </row>
    <row r="13" spans="1:9" ht="15.75">
      <c r="A13" s="337"/>
      <c r="B13" s="301" t="s">
        <v>1026</v>
      </c>
      <c r="C13" s="1273">
        <f>C94</f>
        <v>7995</v>
      </c>
      <c r="D13" s="1273">
        <v>8315</v>
      </c>
      <c r="E13" s="1273">
        <f>E94</f>
        <v>8000</v>
      </c>
      <c r="F13" s="1307">
        <f t="shared" si="1"/>
        <v>96.2116656644618</v>
      </c>
      <c r="G13" s="1273">
        <f>G94</f>
        <v>8000</v>
      </c>
      <c r="H13" s="345">
        <f t="shared" si="0"/>
        <v>100.06253908692933</v>
      </c>
      <c r="I13" s="345">
        <f t="shared" si="2"/>
        <v>100</v>
      </c>
    </row>
    <row r="14" spans="1:9" ht="15.75">
      <c r="A14" s="337"/>
      <c r="B14" s="301" t="s">
        <v>1027</v>
      </c>
      <c r="C14" s="1273">
        <f>C27+C61</f>
        <v>331</v>
      </c>
      <c r="D14" s="1273">
        <v>250</v>
      </c>
      <c r="E14" s="1273">
        <f aca="true" t="shared" si="3" ref="E14:G15">E27+E61</f>
        <v>113</v>
      </c>
      <c r="F14" s="1307">
        <f t="shared" si="1"/>
        <v>45.2</v>
      </c>
      <c r="G14" s="1273">
        <f t="shared" si="3"/>
        <v>150</v>
      </c>
      <c r="H14" s="345">
        <f t="shared" si="0"/>
        <v>34.13897280966767</v>
      </c>
      <c r="I14" s="345">
        <f t="shared" si="2"/>
        <v>132.7433628318584</v>
      </c>
    </row>
    <row r="15" spans="1:9" ht="15.75">
      <c r="A15" s="337"/>
      <c r="B15" s="301" t="s">
        <v>1028</v>
      </c>
      <c r="C15" s="1273">
        <f>C28+C62</f>
        <v>486</v>
      </c>
      <c r="D15" s="1273">
        <v>610</v>
      </c>
      <c r="E15" s="1273">
        <f t="shared" si="3"/>
        <v>560</v>
      </c>
      <c r="F15" s="1307">
        <f t="shared" si="1"/>
        <v>91.8032786885246</v>
      </c>
      <c r="G15" s="1273">
        <f t="shared" si="3"/>
        <v>550</v>
      </c>
      <c r="H15" s="345">
        <f t="shared" si="0"/>
        <v>115.22633744855966</v>
      </c>
      <c r="I15" s="345">
        <f t="shared" si="2"/>
        <v>98.21428571428572</v>
      </c>
    </row>
    <row r="16" spans="1:9" s="211" customFormat="1" ht="15.75">
      <c r="A16" s="338"/>
      <c r="B16" s="388" t="s">
        <v>1100</v>
      </c>
      <c r="C16" s="1274">
        <f>C17+C29+C63+C94</f>
        <v>11336</v>
      </c>
      <c r="D16" s="1274"/>
      <c r="E16" s="1274">
        <f>E17+E29+E63+E94</f>
        <v>11780</v>
      </c>
      <c r="F16" s="1274"/>
      <c r="G16" s="1274">
        <f>G17+G29+G63+G94</f>
        <v>11695</v>
      </c>
      <c r="H16" s="343">
        <f t="shared" si="0"/>
        <v>103.91672547635851</v>
      </c>
      <c r="I16" s="343">
        <f t="shared" si="2"/>
        <v>99.27843803056028</v>
      </c>
    </row>
    <row r="17" spans="1:9" s="211" customFormat="1" ht="15.75">
      <c r="A17" s="341" t="s">
        <v>104</v>
      </c>
      <c r="B17" s="334" t="s">
        <v>622</v>
      </c>
      <c r="C17" s="1274">
        <f>C18+C25</f>
        <v>1433</v>
      </c>
      <c r="D17" s="1274"/>
      <c r="E17" s="1274">
        <f>E18+E25</f>
        <v>1544</v>
      </c>
      <c r="F17" s="1274"/>
      <c r="G17" s="1274">
        <f>G18+G25</f>
        <v>1500</v>
      </c>
      <c r="H17" s="343">
        <f t="shared" si="0"/>
        <v>107.74598743893928</v>
      </c>
      <c r="I17" s="343">
        <f t="shared" si="2"/>
        <v>97.15025906735751</v>
      </c>
    </row>
    <row r="18" spans="1:9" s="211" customFormat="1" ht="15.75">
      <c r="A18" s="372">
        <v>1</v>
      </c>
      <c r="B18" s="334" t="s">
        <v>623</v>
      </c>
      <c r="C18" s="1275">
        <f>C19+C24</f>
        <v>952</v>
      </c>
      <c r="D18" s="1275"/>
      <c r="E18" s="1275">
        <f>E19+E24</f>
        <v>1247</v>
      </c>
      <c r="F18" s="1275"/>
      <c r="G18" s="1275">
        <f>G19+G24</f>
        <v>1250</v>
      </c>
      <c r="H18" s="343">
        <f t="shared" si="0"/>
        <v>130.9873949579832</v>
      </c>
      <c r="I18" s="343">
        <f t="shared" si="2"/>
        <v>100.24057738572574</v>
      </c>
    </row>
    <row r="19" spans="1:9" s="211" customFormat="1" ht="15.75">
      <c r="A19" s="372" t="s">
        <v>508</v>
      </c>
      <c r="B19" s="334" t="s">
        <v>624</v>
      </c>
      <c r="C19" s="1275">
        <f>C20</f>
        <v>163</v>
      </c>
      <c r="D19" s="1275"/>
      <c r="E19" s="1275">
        <f>E20</f>
        <v>247</v>
      </c>
      <c r="F19" s="1275"/>
      <c r="G19" s="1275">
        <f>G20</f>
        <v>250</v>
      </c>
      <c r="H19" s="343">
        <f t="shared" si="0"/>
        <v>151.53374233128835</v>
      </c>
      <c r="I19" s="343">
        <f t="shared" si="2"/>
        <v>101.21457489878541</v>
      </c>
    </row>
    <row r="20" spans="1:9" ht="15.75">
      <c r="A20" s="373"/>
      <c r="B20" s="301" t="s">
        <v>662</v>
      </c>
      <c r="C20" s="1273">
        <v>163</v>
      </c>
      <c r="D20" s="1273"/>
      <c r="E20" s="1273">
        <v>247</v>
      </c>
      <c r="F20" s="1273"/>
      <c r="G20" s="1273">
        <v>250</v>
      </c>
      <c r="H20" s="345">
        <f t="shared" si="0"/>
        <v>151.53374233128835</v>
      </c>
      <c r="I20" s="345">
        <f t="shared" si="2"/>
        <v>101.21457489878541</v>
      </c>
    </row>
    <row r="21" spans="1:9" ht="15.75">
      <c r="A21" s="350"/>
      <c r="B21" s="374" t="s">
        <v>625</v>
      </c>
      <c r="C21" s="1276">
        <v>153</v>
      </c>
      <c r="D21" s="1276"/>
      <c r="E21" s="1276">
        <v>247</v>
      </c>
      <c r="F21" s="1276"/>
      <c r="G21" s="1276">
        <v>220</v>
      </c>
      <c r="H21" s="345">
        <f t="shared" si="0"/>
        <v>161.43790849673204</v>
      </c>
      <c r="I21" s="345">
        <f t="shared" si="2"/>
        <v>89.06882591093117</v>
      </c>
    </row>
    <row r="22" spans="1:9" ht="15.75">
      <c r="A22" s="373"/>
      <c r="B22" s="301" t="s">
        <v>663</v>
      </c>
      <c r="C22" s="1273">
        <v>0</v>
      </c>
      <c r="D22" s="1273"/>
      <c r="E22" s="1273">
        <v>0</v>
      </c>
      <c r="F22" s="1273"/>
      <c r="G22" s="1273">
        <v>0</v>
      </c>
      <c r="H22" s="345"/>
      <c r="I22" s="345"/>
    </row>
    <row r="23" spans="1:9" ht="15.75">
      <c r="A23" s="337"/>
      <c r="B23" s="374" t="s">
        <v>626</v>
      </c>
      <c r="C23" s="1273">
        <v>0</v>
      </c>
      <c r="D23" s="1273"/>
      <c r="E23" s="1273">
        <v>0</v>
      </c>
      <c r="F23" s="1273"/>
      <c r="G23" s="1273">
        <v>0</v>
      </c>
      <c r="H23" s="345"/>
      <c r="I23" s="345"/>
    </row>
    <row r="24" spans="1:9" s="211" customFormat="1" ht="28.5">
      <c r="A24" s="1203" t="s">
        <v>509</v>
      </c>
      <c r="B24" s="296" t="s">
        <v>627</v>
      </c>
      <c r="C24" s="1275">
        <v>789</v>
      </c>
      <c r="D24" s="1275"/>
      <c r="E24" s="1275">
        <v>1000</v>
      </c>
      <c r="F24" s="1275"/>
      <c r="G24" s="1275">
        <v>1000</v>
      </c>
      <c r="H24" s="343">
        <f aca="true" t="shared" si="4" ref="H24:H31">E24/C24%</f>
        <v>126.7427122940431</v>
      </c>
      <c r="I24" s="343">
        <f t="shared" si="2"/>
        <v>100</v>
      </c>
    </row>
    <row r="25" spans="1:9" s="211" customFormat="1" ht="15.75">
      <c r="A25" s="1203">
        <v>2</v>
      </c>
      <c r="B25" s="334" t="s">
        <v>1029</v>
      </c>
      <c r="C25" s="1275">
        <f>C26</f>
        <v>481</v>
      </c>
      <c r="D25" s="1275"/>
      <c r="E25" s="1275">
        <f>E26</f>
        <v>297</v>
      </c>
      <c r="F25" s="1275"/>
      <c r="G25" s="1275">
        <f>G26</f>
        <v>250</v>
      </c>
      <c r="H25" s="343">
        <f t="shared" si="4"/>
        <v>61.74636174636175</v>
      </c>
      <c r="I25" s="343">
        <f t="shared" si="2"/>
        <v>84.17508417508417</v>
      </c>
    </row>
    <row r="26" spans="1:9" s="211" customFormat="1" ht="15.75">
      <c r="A26" s="339" t="s">
        <v>508</v>
      </c>
      <c r="B26" s="340" t="s">
        <v>1030</v>
      </c>
      <c r="C26" s="1277">
        <f>C28+C27</f>
        <v>481</v>
      </c>
      <c r="D26" s="1277"/>
      <c r="E26" s="1277">
        <f>E28+E27</f>
        <v>297</v>
      </c>
      <c r="F26" s="1277"/>
      <c r="G26" s="1277">
        <f>G28+G27</f>
        <v>250</v>
      </c>
      <c r="H26" s="343">
        <f t="shared" si="4"/>
        <v>61.74636174636175</v>
      </c>
      <c r="I26" s="343">
        <f t="shared" si="2"/>
        <v>84.17508417508417</v>
      </c>
    </row>
    <row r="27" spans="1:9" ht="15.75">
      <c r="A27" s="373"/>
      <c r="B27" s="301" t="s">
        <v>1031</v>
      </c>
      <c r="C27" s="1273">
        <v>168</v>
      </c>
      <c r="D27" s="1273"/>
      <c r="E27" s="1273">
        <v>71</v>
      </c>
      <c r="F27" s="1273"/>
      <c r="G27" s="1273">
        <v>50</v>
      </c>
      <c r="H27" s="345">
        <f t="shared" si="4"/>
        <v>42.261904761904766</v>
      </c>
      <c r="I27" s="345">
        <f t="shared" si="2"/>
        <v>70.42253521126761</v>
      </c>
    </row>
    <row r="28" spans="1:9" ht="15.75">
      <c r="A28" s="373"/>
      <c r="B28" s="301" t="s">
        <v>1032</v>
      </c>
      <c r="C28" s="1273">
        <v>313</v>
      </c>
      <c r="D28" s="1273"/>
      <c r="E28" s="1273">
        <v>226</v>
      </c>
      <c r="F28" s="1273"/>
      <c r="G28" s="1273">
        <v>200</v>
      </c>
      <c r="H28" s="345">
        <f t="shared" si="4"/>
        <v>72.20447284345047</v>
      </c>
      <c r="I28" s="345">
        <f t="shared" si="2"/>
        <v>88.49557522123895</v>
      </c>
    </row>
    <row r="29" spans="1:9" s="211" customFormat="1" ht="15.75">
      <c r="A29" s="341" t="s">
        <v>114</v>
      </c>
      <c r="B29" s="334" t="s">
        <v>630</v>
      </c>
      <c r="C29" s="1274">
        <f>C30+C52</f>
        <v>1050</v>
      </c>
      <c r="D29" s="1274"/>
      <c r="E29" s="1274">
        <f>E30+E52</f>
        <v>1333</v>
      </c>
      <c r="F29" s="1274"/>
      <c r="G29" s="1274">
        <f>G30+G52</f>
        <v>1605</v>
      </c>
      <c r="H29" s="343">
        <f t="shared" si="4"/>
        <v>126.95238095238095</v>
      </c>
      <c r="I29" s="1278">
        <f t="shared" si="2"/>
        <v>120.40510127531883</v>
      </c>
    </row>
    <row r="30" spans="1:9" s="211" customFormat="1" ht="21.75" customHeight="1">
      <c r="A30" s="341">
        <v>1</v>
      </c>
      <c r="B30" s="334" t="s">
        <v>1101</v>
      </c>
      <c r="C30" s="342">
        <f>C39+C31</f>
        <v>92</v>
      </c>
      <c r="D30" s="342"/>
      <c r="E30" s="342">
        <f>E39+E31</f>
        <v>193</v>
      </c>
      <c r="F30" s="342"/>
      <c r="G30" s="342">
        <f>G39+G31</f>
        <v>435</v>
      </c>
      <c r="H30" s="343">
        <f t="shared" si="4"/>
        <v>209.78260869565216</v>
      </c>
      <c r="I30" s="1278">
        <f t="shared" si="2"/>
        <v>225.38860103626945</v>
      </c>
    </row>
    <row r="31" spans="1:9" s="211" customFormat="1" ht="15.75">
      <c r="A31" s="339" t="s">
        <v>508</v>
      </c>
      <c r="B31" s="344" t="s">
        <v>631</v>
      </c>
      <c r="C31" s="342">
        <f>SUM(C32:C38)</f>
        <v>58</v>
      </c>
      <c r="D31" s="342"/>
      <c r="E31" s="342">
        <f>SUM(E32:E38)</f>
        <v>34</v>
      </c>
      <c r="F31" s="342"/>
      <c r="G31" s="342">
        <f>SUM(G32:G38)</f>
        <v>180</v>
      </c>
      <c r="H31" s="343">
        <f t="shared" si="4"/>
        <v>58.62068965517242</v>
      </c>
      <c r="I31" s="1278">
        <f t="shared" si="2"/>
        <v>529.4117647058823</v>
      </c>
    </row>
    <row r="32" spans="1:9" ht="15.75">
      <c r="A32" s="337"/>
      <c r="B32" s="301" t="s">
        <v>632</v>
      </c>
      <c r="C32" s="1279"/>
      <c r="D32" s="1279"/>
      <c r="E32" s="1279"/>
      <c r="F32" s="1279"/>
      <c r="G32" s="1279">
        <v>25</v>
      </c>
      <c r="H32" s="345"/>
      <c r="I32" s="1308"/>
    </row>
    <row r="33" spans="1:9" ht="15.75">
      <c r="A33" s="337"/>
      <c r="B33" s="301" t="s">
        <v>633</v>
      </c>
      <c r="C33" s="1279">
        <v>21</v>
      </c>
      <c r="D33" s="1279"/>
      <c r="E33" s="1279">
        <v>14</v>
      </c>
      <c r="F33" s="1279"/>
      <c r="G33" s="1279">
        <v>25</v>
      </c>
      <c r="H33" s="345">
        <f>E33/C33%</f>
        <v>66.66666666666667</v>
      </c>
      <c r="I33" s="1308">
        <f t="shared" si="2"/>
        <v>178.57142857142856</v>
      </c>
    </row>
    <row r="34" spans="1:9" ht="15.75">
      <c r="A34" s="337"/>
      <c r="B34" s="301" t="s">
        <v>634</v>
      </c>
      <c r="C34" s="1280"/>
      <c r="D34" s="1280"/>
      <c r="E34" s="1279"/>
      <c r="F34" s="1279"/>
      <c r="G34" s="1279">
        <v>25</v>
      </c>
      <c r="H34" s="345"/>
      <c r="I34" s="1308"/>
    </row>
    <row r="35" spans="1:9" ht="15.75">
      <c r="A35" s="337"/>
      <c r="B35" s="301" t="s">
        <v>635</v>
      </c>
      <c r="C35" s="1279">
        <v>4</v>
      </c>
      <c r="D35" s="1279"/>
      <c r="E35" s="1279"/>
      <c r="F35" s="1279"/>
      <c r="G35" s="1279">
        <v>25</v>
      </c>
      <c r="H35" s="345">
        <f>E35/C35%</f>
        <v>0</v>
      </c>
      <c r="I35" s="1308"/>
    </row>
    <row r="36" spans="1:9" ht="15.75">
      <c r="A36" s="337"/>
      <c r="B36" s="346" t="s">
        <v>636</v>
      </c>
      <c r="C36" s="1281"/>
      <c r="D36" s="1281"/>
      <c r="E36" s="1279"/>
      <c r="F36" s="1279"/>
      <c r="G36" s="1279">
        <v>25</v>
      </c>
      <c r="H36" s="345"/>
      <c r="I36" s="1308"/>
    </row>
    <row r="37" spans="1:9" ht="15.75">
      <c r="A37" s="337"/>
      <c r="B37" s="346" t="s">
        <v>637</v>
      </c>
      <c r="C37" s="1281">
        <v>9</v>
      </c>
      <c r="D37" s="1281"/>
      <c r="E37" s="1279"/>
      <c r="F37" s="1279"/>
      <c r="G37" s="1279">
        <v>25</v>
      </c>
      <c r="H37" s="345">
        <f>E37/C37%</f>
        <v>0</v>
      </c>
      <c r="I37" s="1308"/>
    </row>
    <row r="38" spans="1:9" ht="15.75">
      <c r="A38" s="337"/>
      <c r="B38" s="301" t="s">
        <v>638</v>
      </c>
      <c r="C38" s="1279">
        <v>24</v>
      </c>
      <c r="D38" s="1279"/>
      <c r="E38" s="1279">
        <v>20</v>
      </c>
      <c r="F38" s="1279"/>
      <c r="G38" s="1279">
        <v>30</v>
      </c>
      <c r="H38" s="345"/>
      <c r="I38" s="1308">
        <f t="shared" si="2"/>
        <v>150</v>
      </c>
    </row>
    <row r="39" spans="1:9" s="211" customFormat="1" ht="15.75">
      <c r="A39" s="339" t="s">
        <v>509</v>
      </c>
      <c r="B39" s="344" t="s">
        <v>639</v>
      </c>
      <c r="C39" s="342">
        <f>SUM(C40:C51)</f>
        <v>34</v>
      </c>
      <c r="D39" s="342"/>
      <c r="E39" s="342">
        <f>SUM(E40:E51)</f>
        <v>159</v>
      </c>
      <c r="F39" s="342"/>
      <c r="G39" s="342">
        <f>SUM(G40:G51)</f>
        <v>255</v>
      </c>
      <c r="H39" s="343">
        <f>E39/C39%</f>
        <v>467.6470588235294</v>
      </c>
      <c r="I39" s="1278">
        <f t="shared" si="2"/>
        <v>160.37735849056602</v>
      </c>
    </row>
    <row r="40" spans="1:9" ht="15.75">
      <c r="A40" s="337"/>
      <c r="B40" s="301" t="s">
        <v>640</v>
      </c>
      <c r="C40" s="1281"/>
      <c r="D40" s="1281"/>
      <c r="E40" s="1273">
        <v>8</v>
      </c>
      <c r="F40" s="1273"/>
      <c r="G40" s="1273">
        <v>20</v>
      </c>
      <c r="H40" s="345"/>
      <c r="I40" s="1308">
        <f t="shared" si="2"/>
        <v>250</v>
      </c>
    </row>
    <row r="41" spans="1:9" ht="15.75">
      <c r="A41" s="337"/>
      <c r="B41" s="301" t="s">
        <v>641</v>
      </c>
      <c r="C41" s="1279"/>
      <c r="D41" s="1279"/>
      <c r="E41" s="347">
        <v>15</v>
      </c>
      <c r="F41" s="347"/>
      <c r="G41" s="347">
        <v>20</v>
      </c>
      <c r="H41" s="345"/>
      <c r="I41" s="1308">
        <f t="shared" si="2"/>
        <v>133.33333333333334</v>
      </c>
    </row>
    <row r="42" spans="1:9" ht="15.75">
      <c r="A42" s="337"/>
      <c r="B42" s="301" t="s">
        <v>637</v>
      </c>
      <c r="C42" s="1279"/>
      <c r="D42" s="1279"/>
      <c r="E42" s="347"/>
      <c r="F42" s="347"/>
      <c r="G42" s="347">
        <v>25</v>
      </c>
      <c r="H42" s="345"/>
      <c r="I42" s="1308"/>
    </row>
    <row r="43" spans="1:9" ht="15.75">
      <c r="A43" s="337"/>
      <c r="B43" s="301" t="s">
        <v>642</v>
      </c>
      <c r="C43" s="1281"/>
      <c r="D43" s="1281"/>
      <c r="E43" s="347">
        <v>11</v>
      </c>
      <c r="F43" s="347"/>
      <c r="G43" s="347">
        <v>20</v>
      </c>
      <c r="H43" s="345"/>
      <c r="I43" s="1308">
        <f t="shared" si="2"/>
        <v>181.8181818181818</v>
      </c>
    </row>
    <row r="44" spans="1:9" ht="15.75">
      <c r="A44" s="337"/>
      <c r="B44" s="301" t="s">
        <v>643</v>
      </c>
      <c r="C44" s="1281">
        <v>34</v>
      </c>
      <c r="D44" s="1281"/>
      <c r="E44" s="347">
        <v>36</v>
      </c>
      <c r="F44" s="347"/>
      <c r="G44" s="347">
        <v>20</v>
      </c>
      <c r="H44" s="345">
        <f>E44/C44%</f>
        <v>105.88235294117646</v>
      </c>
      <c r="I44" s="1308">
        <f t="shared" si="2"/>
        <v>55.55555555555556</v>
      </c>
    </row>
    <row r="45" spans="1:9" ht="15.75">
      <c r="A45" s="337"/>
      <c r="B45" s="301" t="s">
        <v>636</v>
      </c>
      <c r="C45" s="1281"/>
      <c r="D45" s="1281"/>
      <c r="E45" s="347"/>
      <c r="F45" s="347"/>
      <c r="G45" s="347">
        <v>25</v>
      </c>
      <c r="H45" s="345"/>
      <c r="I45" s="1308"/>
    </row>
    <row r="46" spans="1:9" ht="15.75">
      <c r="A46" s="337"/>
      <c r="B46" s="301" t="s">
        <v>644</v>
      </c>
      <c r="C46" s="1279"/>
      <c r="D46" s="1279"/>
      <c r="E46" s="347">
        <v>5</v>
      </c>
      <c r="F46" s="347"/>
      <c r="G46" s="347">
        <v>20</v>
      </c>
      <c r="H46" s="345"/>
      <c r="I46" s="1308">
        <f t="shared" si="2"/>
        <v>400</v>
      </c>
    </row>
    <row r="47" spans="1:9" ht="15.75">
      <c r="A47" s="337"/>
      <c r="B47" s="301" t="s">
        <v>632</v>
      </c>
      <c r="C47" s="1279"/>
      <c r="D47" s="1279"/>
      <c r="E47" s="347"/>
      <c r="F47" s="347"/>
      <c r="G47" s="347">
        <v>25</v>
      </c>
      <c r="H47" s="345"/>
      <c r="I47" s="1308"/>
    </row>
    <row r="48" spans="1:9" ht="15.75">
      <c r="A48" s="337"/>
      <c r="B48" s="301" t="s">
        <v>645</v>
      </c>
      <c r="C48" s="1279"/>
      <c r="D48" s="1279"/>
      <c r="E48" s="347">
        <v>12</v>
      </c>
      <c r="F48" s="347"/>
      <c r="G48" s="347">
        <v>20</v>
      </c>
      <c r="H48" s="345"/>
      <c r="I48" s="1308">
        <f t="shared" si="2"/>
        <v>166.66666666666669</v>
      </c>
    </row>
    <row r="49" spans="1:9" ht="15.75">
      <c r="A49" s="337"/>
      <c r="B49" s="301" t="s">
        <v>1033</v>
      </c>
      <c r="C49" s="1279"/>
      <c r="D49" s="1279"/>
      <c r="E49" s="347">
        <v>24</v>
      </c>
      <c r="F49" s="347"/>
      <c r="G49" s="347">
        <v>20</v>
      </c>
      <c r="H49" s="345"/>
      <c r="I49" s="1308">
        <f t="shared" si="2"/>
        <v>83.33333333333334</v>
      </c>
    </row>
    <row r="50" spans="1:9" ht="15.75">
      <c r="A50" s="337"/>
      <c r="B50" s="301" t="s">
        <v>1034</v>
      </c>
      <c r="C50" s="1279"/>
      <c r="D50" s="1279"/>
      <c r="E50" s="347">
        <v>36</v>
      </c>
      <c r="F50" s="347"/>
      <c r="G50" s="347">
        <v>20</v>
      </c>
      <c r="H50" s="345"/>
      <c r="I50" s="1308">
        <f t="shared" si="2"/>
        <v>55.55555555555556</v>
      </c>
    </row>
    <row r="51" spans="1:9" ht="15.75">
      <c r="A51" s="337"/>
      <c r="B51" s="301" t="s">
        <v>646</v>
      </c>
      <c r="C51" s="1279"/>
      <c r="D51" s="1279"/>
      <c r="E51" s="347">
        <v>12</v>
      </c>
      <c r="F51" s="347"/>
      <c r="G51" s="347">
        <v>20</v>
      </c>
      <c r="H51" s="345"/>
      <c r="I51" s="1308">
        <f t="shared" si="2"/>
        <v>166.66666666666669</v>
      </c>
    </row>
    <row r="52" spans="1:9" s="211" customFormat="1" ht="15.75">
      <c r="A52" s="341">
        <v>2</v>
      </c>
      <c r="B52" s="334" t="s">
        <v>647</v>
      </c>
      <c r="C52" s="1274">
        <f>C53+C58+C59+C60</f>
        <v>958</v>
      </c>
      <c r="D52" s="1274"/>
      <c r="E52" s="1274">
        <f>E53+E58+E59+E60</f>
        <v>1140</v>
      </c>
      <c r="F52" s="1274"/>
      <c r="G52" s="1274">
        <f>G53+G58+G59+G60</f>
        <v>1170</v>
      </c>
      <c r="H52" s="343">
        <f>E52/C52%</f>
        <v>118.99791231732776</v>
      </c>
      <c r="I52" s="1278">
        <f t="shared" si="2"/>
        <v>102.63157894736842</v>
      </c>
    </row>
    <row r="53" spans="1:9" s="211" customFormat="1" ht="15.75">
      <c r="A53" s="339" t="s">
        <v>508</v>
      </c>
      <c r="B53" s="344" t="s">
        <v>639</v>
      </c>
      <c r="C53" s="342">
        <f>SUM(C54:C57)</f>
        <v>38</v>
      </c>
      <c r="D53" s="342"/>
      <c r="E53" s="342">
        <f>SUM(E54:E57)</f>
        <v>0</v>
      </c>
      <c r="F53" s="342"/>
      <c r="G53" s="342">
        <f>SUM(G54:G57)</f>
        <v>0</v>
      </c>
      <c r="H53" s="343"/>
      <c r="I53" s="1278"/>
    </row>
    <row r="54" spans="1:9" ht="15.75">
      <c r="A54" s="337"/>
      <c r="B54" s="301" t="s">
        <v>641</v>
      </c>
      <c r="C54" s="1281">
        <v>38</v>
      </c>
      <c r="D54" s="1281"/>
      <c r="E54" s="1273"/>
      <c r="F54" s="1273"/>
      <c r="G54" s="1273"/>
      <c r="H54" s="345"/>
      <c r="I54" s="1308"/>
    </row>
    <row r="55" spans="1:9" ht="15.75">
      <c r="A55" s="337"/>
      <c r="B55" s="301" t="s">
        <v>642</v>
      </c>
      <c r="C55" s="1281"/>
      <c r="D55" s="1281"/>
      <c r="E55" s="1273"/>
      <c r="F55" s="1273"/>
      <c r="G55" s="1273"/>
      <c r="H55" s="345"/>
      <c r="I55" s="1308"/>
    </row>
    <row r="56" spans="1:9" ht="15.75">
      <c r="A56" s="337"/>
      <c r="B56" s="301" t="s">
        <v>643</v>
      </c>
      <c r="C56" s="1281"/>
      <c r="D56" s="1281"/>
      <c r="E56" s="1273"/>
      <c r="F56" s="1273"/>
      <c r="G56" s="1273"/>
      <c r="H56" s="345"/>
      <c r="I56" s="1308"/>
    </row>
    <row r="57" spans="1:9" ht="15.75">
      <c r="A57" s="337"/>
      <c r="B57" s="301" t="s">
        <v>648</v>
      </c>
      <c r="C57" s="1281"/>
      <c r="D57" s="1281"/>
      <c r="E57" s="1273"/>
      <c r="F57" s="1273"/>
      <c r="G57" s="1273"/>
      <c r="H57" s="345"/>
      <c r="I57" s="1308"/>
    </row>
    <row r="58" spans="1:9" s="211" customFormat="1" ht="30">
      <c r="A58" s="339" t="s">
        <v>509</v>
      </c>
      <c r="B58" s="344" t="s">
        <v>1035</v>
      </c>
      <c r="C58" s="1282">
        <v>280</v>
      </c>
      <c r="D58" s="1282"/>
      <c r="E58" s="1277">
        <v>230</v>
      </c>
      <c r="F58" s="1277"/>
      <c r="G58" s="1277">
        <v>300</v>
      </c>
      <c r="H58" s="348">
        <f aca="true" t="shared" si="5" ref="H58:H66">E58/C58%</f>
        <v>82.14285714285715</v>
      </c>
      <c r="I58" s="1283">
        <f t="shared" si="2"/>
        <v>130.43478260869566</v>
      </c>
    </row>
    <row r="59" spans="1:9" s="211" customFormat="1" ht="15.75">
      <c r="A59" s="339" t="s">
        <v>510</v>
      </c>
      <c r="B59" s="344" t="s">
        <v>649</v>
      </c>
      <c r="C59" s="342">
        <v>304</v>
      </c>
      <c r="D59" s="342"/>
      <c r="E59" s="1284">
        <v>534</v>
      </c>
      <c r="F59" s="1284"/>
      <c r="G59" s="342">
        <v>420</v>
      </c>
      <c r="H59" s="348">
        <f t="shared" si="5"/>
        <v>175.6578947368421</v>
      </c>
      <c r="I59" s="1283">
        <f t="shared" si="2"/>
        <v>78.65168539325843</v>
      </c>
    </row>
    <row r="60" spans="1:9" s="211" customFormat="1" ht="30">
      <c r="A60" s="339" t="s">
        <v>1036</v>
      </c>
      <c r="B60" s="340" t="s">
        <v>1030</v>
      </c>
      <c r="C60" s="1277">
        <f>C62+C61</f>
        <v>336</v>
      </c>
      <c r="D60" s="1277"/>
      <c r="E60" s="1277">
        <f>E62+E61</f>
        <v>376</v>
      </c>
      <c r="F60" s="1277"/>
      <c r="G60" s="1277">
        <f>G61+G62</f>
        <v>450</v>
      </c>
      <c r="H60" s="343">
        <f t="shared" si="5"/>
        <v>111.90476190476191</v>
      </c>
      <c r="I60" s="1278">
        <f t="shared" si="2"/>
        <v>119.68085106382979</v>
      </c>
    </row>
    <row r="61" spans="1:9" ht="15.75">
      <c r="A61" s="337"/>
      <c r="B61" s="301" t="s">
        <v>628</v>
      </c>
      <c r="C61" s="1281">
        <v>163</v>
      </c>
      <c r="D61" s="1281"/>
      <c r="E61" s="1273">
        <v>42</v>
      </c>
      <c r="F61" s="1273"/>
      <c r="G61" s="1273">
        <v>100</v>
      </c>
      <c r="H61" s="345">
        <f t="shared" si="5"/>
        <v>25.766871165644172</v>
      </c>
      <c r="I61" s="1308">
        <f t="shared" si="2"/>
        <v>238.0952380952381</v>
      </c>
    </row>
    <row r="62" spans="1:9" ht="15.75">
      <c r="A62" s="337"/>
      <c r="B62" s="301" t="s">
        <v>629</v>
      </c>
      <c r="C62" s="1281">
        <v>173</v>
      </c>
      <c r="D62" s="1281"/>
      <c r="E62" s="1273">
        <v>334</v>
      </c>
      <c r="F62" s="1273"/>
      <c r="G62" s="1273">
        <v>350</v>
      </c>
      <c r="H62" s="345">
        <f t="shared" si="5"/>
        <v>193.0635838150289</v>
      </c>
      <c r="I62" s="1308">
        <f t="shared" si="2"/>
        <v>104.79041916167665</v>
      </c>
    </row>
    <row r="63" spans="1:9" s="211" customFormat="1" ht="15.75">
      <c r="A63" s="341" t="s">
        <v>118</v>
      </c>
      <c r="B63" s="1285" t="s">
        <v>650</v>
      </c>
      <c r="C63" s="1286">
        <f>C64+C80</f>
        <v>858</v>
      </c>
      <c r="D63" s="1286"/>
      <c r="E63" s="1286">
        <f>E64+E80</f>
        <v>903</v>
      </c>
      <c r="F63" s="1286"/>
      <c r="G63" s="1286">
        <f>G64+G80</f>
        <v>590</v>
      </c>
      <c r="H63" s="1278">
        <f t="shared" si="5"/>
        <v>105.24475524475524</v>
      </c>
      <c r="I63" s="1278">
        <f>G63/E63%</f>
        <v>65.33776301218163</v>
      </c>
    </row>
    <row r="64" spans="1:9" s="211" customFormat="1" ht="15.75">
      <c r="A64" s="341">
        <v>1</v>
      </c>
      <c r="B64" s="1285" t="s">
        <v>623</v>
      </c>
      <c r="C64" s="1286">
        <f>C65+C74+C79</f>
        <v>678</v>
      </c>
      <c r="D64" s="1286"/>
      <c r="E64" s="1286">
        <f>E65+E74+E79</f>
        <v>432</v>
      </c>
      <c r="F64" s="1286"/>
      <c r="G64" s="1286">
        <f>G65+G74+G79</f>
        <v>380</v>
      </c>
      <c r="H64" s="1278">
        <f t="shared" si="5"/>
        <v>63.716814159292035</v>
      </c>
      <c r="I64" s="1278">
        <f aca="true" t="shared" si="6" ref="I64:I86">G64/E64%</f>
        <v>87.96296296296296</v>
      </c>
    </row>
    <row r="65" spans="1:9" s="211" customFormat="1" ht="15.75">
      <c r="A65" s="349" t="s">
        <v>508</v>
      </c>
      <c r="B65" s="1287" t="s">
        <v>624</v>
      </c>
      <c r="C65" s="1282">
        <v>197</v>
      </c>
      <c r="D65" s="1282"/>
      <c r="E65" s="1282">
        <v>210</v>
      </c>
      <c r="F65" s="1282"/>
      <c r="G65" s="1282">
        <v>140</v>
      </c>
      <c r="H65" s="1310">
        <f t="shared" si="5"/>
        <v>106.59898477157361</v>
      </c>
      <c r="I65" s="1310">
        <f t="shared" si="6"/>
        <v>66.66666666666666</v>
      </c>
    </row>
    <row r="66" spans="1:9" ht="15.75">
      <c r="A66" s="350"/>
      <c r="B66" s="1288" t="s">
        <v>651</v>
      </c>
      <c r="C66" s="1309">
        <v>141</v>
      </c>
      <c r="D66" s="1309"/>
      <c r="E66" s="1309">
        <v>59</v>
      </c>
      <c r="F66" s="1309"/>
      <c r="G66" s="1309">
        <v>95</v>
      </c>
      <c r="H66" s="1311">
        <f t="shared" si="5"/>
        <v>41.843971631205676</v>
      </c>
      <c r="I66" s="1311">
        <f t="shared" si="6"/>
        <v>161.0169491525424</v>
      </c>
    </row>
    <row r="67" spans="1:9" ht="15.75">
      <c r="A67" s="349" t="s">
        <v>652</v>
      </c>
      <c r="B67" s="1287" t="s">
        <v>653</v>
      </c>
      <c r="C67" s="1289"/>
      <c r="D67" s="1289"/>
      <c r="E67" s="1289"/>
      <c r="F67" s="1289"/>
      <c r="G67" s="1289"/>
      <c r="H67" s="1308"/>
      <c r="I67" s="1308"/>
    </row>
    <row r="68" spans="1:9" ht="15.75">
      <c r="A68" s="337"/>
      <c r="B68" s="1290" t="s">
        <v>654</v>
      </c>
      <c r="C68" s="1289">
        <v>70</v>
      </c>
      <c r="D68" s="1289"/>
      <c r="E68" s="1289">
        <v>90</v>
      </c>
      <c r="F68" s="1289"/>
      <c r="G68" s="1289">
        <v>70</v>
      </c>
      <c r="H68" s="1308">
        <f aca="true" t="shared" si="7" ref="H68:H77">E68/C68%</f>
        <v>128.57142857142858</v>
      </c>
      <c r="I68" s="1308">
        <f t="shared" si="6"/>
        <v>77.77777777777777</v>
      </c>
    </row>
    <row r="69" spans="1:9" ht="15.75">
      <c r="A69" s="350"/>
      <c r="B69" s="1288" t="s">
        <v>651</v>
      </c>
      <c r="C69" s="1289">
        <v>45</v>
      </c>
      <c r="D69" s="1289"/>
      <c r="E69" s="1289">
        <v>19</v>
      </c>
      <c r="F69" s="1289"/>
      <c r="G69" s="1289">
        <v>25</v>
      </c>
      <c r="H69" s="1308">
        <f t="shared" si="7"/>
        <v>42.22222222222222</v>
      </c>
      <c r="I69" s="1308">
        <f t="shared" si="6"/>
        <v>131.57894736842104</v>
      </c>
    </row>
    <row r="70" spans="1:9" ht="15.75">
      <c r="A70" s="352"/>
      <c r="B70" s="1290" t="s">
        <v>655</v>
      </c>
      <c r="C70" s="1289">
        <v>91</v>
      </c>
      <c r="D70" s="1289"/>
      <c r="E70" s="1289">
        <v>80</v>
      </c>
      <c r="F70" s="1289"/>
      <c r="G70" s="1289">
        <v>35</v>
      </c>
      <c r="H70" s="1308">
        <f t="shared" si="7"/>
        <v>87.91208791208791</v>
      </c>
      <c r="I70" s="1308">
        <f t="shared" si="6"/>
        <v>43.75</v>
      </c>
    </row>
    <row r="71" spans="1:9" ht="15.75">
      <c r="A71" s="350"/>
      <c r="B71" s="1288" t="s">
        <v>651</v>
      </c>
      <c r="C71" s="1289">
        <v>86</v>
      </c>
      <c r="D71" s="1289"/>
      <c r="E71" s="1289">
        <v>37</v>
      </c>
      <c r="F71" s="1289"/>
      <c r="G71" s="1289">
        <v>35</v>
      </c>
      <c r="H71" s="1308">
        <f t="shared" si="7"/>
        <v>43.02325581395349</v>
      </c>
      <c r="I71" s="1308">
        <f t="shared" si="6"/>
        <v>94.5945945945946</v>
      </c>
    </row>
    <row r="72" spans="1:9" ht="15.75">
      <c r="A72" s="352"/>
      <c r="B72" s="1290" t="s">
        <v>1363</v>
      </c>
      <c r="C72" s="1289">
        <v>36</v>
      </c>
      <c r="D72" s="1289"/>
      <c r="E72" s="1289">
        <v>40</v>
      </c>
      <c r="F72" s="1289"/>
      <c r="G72" s="1289">
        <v>35</v>
      </c>
      <c r="H72" s="1308">
        <f t="shared" si="7"/>
        <v>111.11111111111111</v>
      </c>
      <c r="I72" s="1308">
        <f t="shared" si="6"/>
        <v>87.5</v>
      </c>
    </row>
    <row r="73" spans="1:9" ht="15.75">
      <c r="A73" s="350"/>
      <c r="B73" s="1288" t="s">
        <v>651</v>
      </c>
      <c r="C73" s="1289">
        <v>10</v>
      </c>
      <c r="D73" s="1289"/>
      <c r="E73" s="1289">
        <v>9</v>
      </c>
      <c r="F73" s="1289"/>
      <c r="G73" s="1289">
        <v>5</v>
      </c>
      <c r="H73" s="1308">
        <f t="shared" si="7"/>
        <v>90</v>
      </c>
      <c r="I73" s="1308">
        <f t="shared" si="6"/>
        <v>55.55555555555556</v>
      </c>
    </row>
    <row r="74" spans="1:9" s="211" customFormat="1" ht="30">
      <c r="A74" s="349" t="s">
        <v>509</v>
      </c>
      <c r="B74" s="1287" t="s">
        <v>1037</v>
      </c>
      <c r="C74" s="1291">
        <f>SUM(C75:C77)</f>
        <v>280</v>
      </c>
      <c r="D74" s="1291"/>
      <c r="E74" s="1291">
        <f>SUM(E75:E77)</f>
        <v>136</v>
      </c>
      <c r="F74" s="1291"/>
      <c r="G74" s="1291">
        <f>SUM(G75:G77)</f>
        <v>120</v>
      </c>
      <c r="H74" s="1278">
        <f t="shared" si="7"/>
        <v>48.57142857142858</v>
      </c>
      <c r="I74" s="1278">
        <f t="shared" si="6"/>
        <v>88.23529411764706</v>
      </c>
    </row>
    <row r="75" spans="1:9" ht="15.75">
      <c r="A75" s="352"/>
      <c r="B75" s="1290" t="s">
        <v>656</v>
      </c>
      <c r="C75" s="1292">
        <v>120</v>
      </c>
      <c r="D75" s="1292"/>
      <c r="E75" s="1292">
        <v>46</v>
      </c>
      <c r="F75" s="1292"/>
      <c r="G75" s="1292">
        <v>70</v>
      </c>
      <c r="H75" s="1308">
        <f t="shared" si="7"/>
        <v>38.333333333333336</v>
      </c>
      <c r="I75" s="1308">
        <f t="shared" si="6"/>
        <v>152.17391304347825</v>
      </c>
    </row>
    <row r="76" spans="1:9" ht="15.75">
      <c r="A76" s="352"/>
      <c r="B76" s="1290" t="s">
        <v>657</v>
      </c>
      <c r="C76" s="1292">
        <v>100</v>
      </c>
      <c r="D76" s="1292"/>
      <c r="E76" s="1292">
        <v>40</v>
      </c>
      <c r="F76" s="1292"/>
      <c r="G76" s="1292">
        <v>50</v>
      </c>
      <c r="H76" s="1308">
        <f t="shared" si="7"/>
        <v>40</v>
      </c>
      <c r="I76" s="1308">
        <f t="shared" si="6"/>
        <v>125</v>
      </c>
    </row>
    <row r="77" spans="1:9" ht="15.75">
      <c r="A77" s="352"/>
      <c r="B77" s="1290" t="s">
        <v>658</v>
      </c>
      <c r="C77" s="1292">
        <v>60</v>
      </c>
      <c r="D77" s="1292"/>
      <c r="E77" s="1292">
        <v>50</v>
      </c>
      <c r="F77" s="1292"/>
      <c r="G77" s="1292"/>
      <c r="H77" s="1308">
        <f t="shared" si="7"/>
        <v>83.33333333333334</v>
      </c>
      <c r="I77" s="1308">
        <f t="shared" si="6"/>
        <v>0</v>
      </c>
    </row>
    <row r="78" spans="1:9" ht="15.75">
      <c r="A78" s="352"/>
      <c r="B78" s="351" t="s">
        <v>659</v>
      </c>
      <c r="C78" s="1293">
        <v>0</v>
      </c>
      <c r="D78" s="1293"/>
      <c r="E78" s="1293">
        <v>0</v>
      </c>
      <c r="F78" s="1293"/>
      <c r="G78" s="1293">
        <v>0</v>
      </c>
      <c r="H78" s="345"/>
      <c r="I78" s="345"/>
    </row>
    <row r="79" spans="1:9" s="211" customFormat="1" ht="30">
      <c r="A79" s="349" t="s">
        <v>510</v>
      </c>
      <c r="B79" s="340" t="s">
        <v>660</v>
      </c>
      <c r="C79" s="1312">
        <v>201</v>
      </c>
      <c r="D79" s="1312"/>
      <c r="E79" s="1312">
        <v>86</v>
      </c>
      <c r="F79" s="1312"/>
      <c r="G79" s="1312">
        <v>120</v>
      </c>
      <c r="H79" s="343">
        <f>E79/C79%</f>
        <v>42.7860696517413</v>
      </c>
      <c r="I79" s="343">
        <f t="shared" si="6"/>
        <v>139.53488372093022</v>
      </c>
    </row>
    <row r="80" spans="1:9" s="211" customFormat="1" ht="15.75">
      <c r="A80" s="341">
        <v>2</v>
      </c>
      <c r="B80" s="334" t="s">
        <v>647</v>
      </c>
      <c r="C80" s="1274">
        <f>C81+C87+C90+C89</f>
        <v>180</v>
      </c>
      <c r="D80" s="1274"/>
      <c r="E80" s="1274">
        <f>E81+E87+E90+E89</f>
        <v>471</v>
      </c>
      <c r="F80" s="1274"/>
      <c r="G80" s="1274">
        <f>G81+G87+G90+G89</f>
        <v>210</v>
      </c>
      <c r="H80" s="343">
        <f>E80/C80%</f>
        <v>261.6666666666667</v>
      </c>
      <c r="I80" s="343">
        <f t="shared" si="6"/>
        <v>44.5859872611465</v>
      </c>
    </row>
    <row r="81" spans="1:9" s="211" customFormat="1" ht="30">
      <c r="A81" s="349" t="s">
        <v>508</v>
      </c>
      <c r="B81" s="340" t="s">
        <v>1038</v>
      </c>
      <c r="C81" s="342">
        <f>SUM(C82:C86)</f>
        <v>120</v>
      </c>
      <c r="D81" s="342"/>
      <c r="E81" s="342">
        <f>SUM(E82:E86)</f>
        <v>290</v>
      </c>
      <c r="F81" s="342"/>
      <c r="G81" s="342">
        <f>SUM(G82:G86)</f>
        <v>50</v>
      </c>
      <c r="H81" s="343">
        <f>E81/C81%</f>
        <v>241.66666666666669</v>
      </c>
      <c r="I81" s="343">
        <f t="shared" si="6"/>
        <v>17.24137931034483</v>
      </c>
    </row>
    <row r="82" spans="1:9" ht="15.75">
      <c r="A82" s="353"/>
      <c r="B82" s="1294" t="s">
        <v>1364</v>
      </c>
      <c r="C82" s="1295"/>
      <c r="D82" s="1295"/>
      <c r="E82" s="1295">
        <v>23</v>
      </c>
      <c r="F82" s="1295"/>
      <c r="G82" s="1295"/>
      <c r="H82" s="345"/>
      <c r="I82" s="345">
        <f t="shared" si="6"/>
        <v>0</v>
      </c>
    </row>
    <row r="83" spans="1:9" ht="15.75">
      <c r="A83" s="353"/>
      <c r="B83" s="1294" t="s">
        <v>1365</v>
      </c>
      <c r="C83" s="1295"/>
      <c r="D83" s="1295"/>
      <c r="E83" s="1295">
        <v>50</v>
      </c>
      <c r="F83" s="1295"/>
      <c r="G83" s="1295"/>
      <c r="H83" s="345"/>
      <c r="I83" s="345">
        <f t="shared" si="6"/>
        <v>0</v>
      </c>
    </row>
    <row r="84" spans="1:9" ht="15.75">
      <c r="A84" s="353"/>
      <c r="B84" s="1294" t="s">
        <v>1366</v>
      </c>
      <c r="C84" s="1295"/>
      <c r="D84" s="1295"/>
      <c r="E84" s="1295">
        <v>57</v>
      </c>
      <c r="F84" s="1295"/>
      <c r="G84" s="1295"/>
      <c r="H84" s="345"/>
      <c r="I84" s="345">
        <f t="shared" si="6"/>
        <v>0</v>
      </c>
    </row>
    <row r="85" spans="1:9" ht="15.75">
      <c r="A85" s="353"/>
      <c r="B85" s="1294" t="s">
        <v>1367</v>
      </c>
      <c r="C85" s="1295"/>
      <c r="D85" s="1295"/>
      <c r="E85" s="1295">
        <v>60</v>
      </c>
      <c r="F85" s="1295"/>
      <c r="G85" s="1295"/>
      <c r="H85" s="345"/>
      <c r="I85" s="345">
        <f t="shared" si="6"/>
        <v>0</v>
      </c>
    </row>
    <row r="86" spans="1:9" ht="15.75">
      <c r="A86" s="353"/>
      <c r="B86" s="1294" t="s">
        <v>1368</v>
      </c>
      <c r="C86" s="1295">
        <v>120</v>
      </c>
      <c r="D86" s="1295"/>
      <c r="E86" s="1295">
        <v>100</v>
      </c>
      <c r="F86" s="1295"/>
      <c r="G86" s="1295">
        <v>50</v>
      </c>
      <c r="H86" s="345">
        <f>E86/C86%</f>
        <v>83.33333333333334</v>
      </c>
      <c r="I86" s="345">
        <f t="shared" si="6"/>
        <v>50</v>
      </c>
    </row>
    <row r="87" spans="1:9" s="211" customFormat="1" ht="30">
      <c r="A87" s="349" t="s">
        <v>509</v>
      </c>
      <c r="B87" s="1287" t="s">
        <v>1039</v>
      </c>
      <c r="C87" s="342">
        <f>C88</f>
        <v>60</v>
      </c>
      <c r="D87" s="342"/>
      <c r="E87" s="342">
        <f>E88</f>
        <v>0</v>
      </c>
      <c r="F87" s="342"/>
      <c r="G87" s="342">
        <f>G88</f>
        <v>0</v>
      </c>
      <c r="H87" s="343"/>
      <c r="I87" s="343"/>
    </row>
    <row r="88" spans="1:9" ht="15.75">
      <c r="A88" s="353"/>
      <c r="B88" s="1294" t="s">
        <v>1369</v>
      </c>
      <c r="C88" s="347">
        <v>60</v>
      </c>
      <c r="D88" s="347"/>
      <c r="E88" s="347">
        <v>0</v>
      </c>
      <c r="F88" s="347"/>
      <c r="G88" s="347"/>
      <c r="H88" s="345"/>
      <c r="I88" s="345"/>
    </row>
    <row r="89" spans="1:9" s="211" customFormat="1" ht="30">
      <c r="A89" s="349" t="s">
        <v>510</v>
      </c>
      <c r="B89" s="1287" t="s">
        <v>1370</v>
      </c>
      <c r="C89" s="1296"/>
      <c r="D89" s="1296"/>
      <c r="E89" s="1297">
        <v>114</v>
      </c>
      <c r="F89" s="1297"/>
      <c r="G89" s="1297">
        <v>100</v>
      </c>
      <c r="H89" s="343"/>
      <c r="I89" s="343">
        <f aca="true" t="shared" si="8" ref="I89:I138">G89/E89%</f>
        <v>87.71929824561404</v>
      </c>
    </row>
    <row r="90" spans="1:9" s="211" customFormat="1" ht="15.75">
      <c r="A90" s="349" t="s">
        <v>1036</v>
      </c>
      <c r="B90" s="1287" t="s">
        <v>1371</v>
      </c>
      <c r="C90" s="1298"/>
      <c r="D90" s="1298"/>
      <c r="E90" s="1299">
        <v>67</v>
      </c>
      <c r="F90" s="1299"/>
      <c r="G90" s="1299">
        <v>60</v>
      </c>
      <c r="H90" s="343"/>
      <c r="I90" s="343">
        <f t="shared" si="8"/>
        <v>89.55223880597015</v>
      </c>
    </row>
    <row r="91" spans="1:9" ht="15.75">
      <c r="A91" s="1300"/>
      <c r="B91" s="1290" t="s">
        <v>1372</v>
      </c>
      <c r="C91" s="1295"/>
      <c r="D91" s="1295"/>
      <c r="E91" s="1301">
        <v>23</v>
      </c>
      <c r="F91" s="1301"/>
      <c r="G91" s="1301">
        <v>20</v>
      </c>
      <c r="H91" s="345"/>
      <c r="I91" s="345">
        <f t="shared" si="8"/>
        <v>86.95652173913044</v>
      </c>
    </row>
    <row r="92" spans="1:9" ht="15.75">
      <c r="A92" s="1300"/>
      <c r="B92" s="1290" t="s">
        <v>1373</v>
      </c>
      <c r="C92" s="1295"/>
      <c r="D92" s="1295"/>
      <c r="E92" s="1301">
        <v>38</v>
      </c>
      <c r="F92" s="1301"/>
      <c r="G92" s="1301">
        <v>35</v>
      </c>
      <c r="H92" s="345"/>
      <c r="I92" s="345">
        <f t="shared" si="8"/>
        <v>92.10526315789474</v>
      </c>
    </row>
    <row r="93" spans="1:9" ht="15.75">
      <c r="A93" s="1300"/>
      <c r="B93" s="1290" t="s">
        <v>1374</v>
      </c>
      <c r="C93" s="1295"/>
      <c r="D93" s="1295"/>
      <c r="E93" s="1301">
        <v>6</v>
      </c>
      <c r="F93" s="1301"/>
      <c r="G93" s="1301">
        <v>5</v>
      </c>
      <c r="H93" s="345"/>
      <c r="I93" s="345">
        <f t="shared" si="8"/>
        <v>83.33333333333334</v>
      </c>
    </row>
    <row r="94" spans="1:9" s="211" customFormat="1" ht="15.75">
      <c r="A94" s="341" t="s">
        <v>127</v>
      </c>
      <c r="B94" s="334" t="s">
        <v>661</v>
      </c>
      <c r="C94" s="1302">
        <f>SUM(C95:C97)</f>
        <v>7995</v>
      </c>
      <c r="D94" s="1302"/>
      <c r="E94" s="1302">
        <f>SUM(E95:E97)</f>
        <v>8000</v>
      </c>
      <c r="F94" s="1302"/>
      <c r="G94" s="1274">
        <v>8000</v>
      </c>
      <c r="H94" s="343">
        <f aca="true" t="shared" si="9" ref="H94:H138">E94/C94%</f>
        <v>100.06253908692933</v>
      </c>
      <c r="I94" s="343">
        <f t="shared" si="8"/>
        <v>100</v>
      </c>
    </row>
    <row r="95" spans="1:9" ht="15.75">
      <c r="A95" s="337"/>
      <c r="B95" s="375" t="s">
        <v>662</v>
      </c>
      <c r="C95" s="1303">
        <v>150</v>
      </c>
      <c r="D95" s="1303"/>
      <c r="E95" s="1303">
        <v>180</v>
      </c>
      <c r="F95" s="1303"/>
      <c r="G95" s="347">
        <v>160</v>
      </c>
      <c r="H95" s="345">
        <f t="shared" si="9"/>
        <v>120</v>
      </c>
      <c r="I95" s="345">
        <f t="shared" si="8"/>
        <v>88.88888888888889</v>
      </c>
    </row>
    <row r="96" spans="1:9" ht="15.75">
      <c r="A96" s="376"/>
      <c r="B96" s="375" t="s">
        <v>663</v>
      </c>
      <c r="C96" s="1303">
        <v>266</v>
      </c>
      <c r="D96" s="1303"/>
      <c r="E96" s="1303">
        <v>300</v>
      </c>
      <c r="F96" s="1303"/>
      <c r="G96" s="347">
        <v>240</v>
      </c>
      <c r="H96" s="345">
        <f t="shared" si="9"/>
        <v>112.78195488721803</v>
      </c>
      <c r="I96" s="345">
        <f t="shared" si="8"/>
        <v>80</v>
      </c>
    </row>
    <row r="97" spans="1:9" ht="15.75">
      <c r="A97" s="376"/>
      <c r="B97" s="375" t="s">
        <v>664</v>
      </c>
      <c r="C97" s="1303">
        <v>7579</v>
      </c>
      <c r="D97" s="1303"/>
      <c r="E97" s="1303">
        <v>7520</v>
      </c>
      <c r="F97" s="1303"/>
      <c r="G97" s="347">
        <v>7600</v>
      </c>
      <c r="H97" s="345">
        <f t="shared" si="9"/>
        <v>99.22153318379732</v>
      </c>
      <c r="I97" s="345">
        <f t="shared" si="8"/>
        <v>101.06382978723404</v>
      </c>
    </row>
    <row r="98" spans="1:9" ht="15.75">
      <c r="A98" s="377"/>
      <c r="B98" s="378" t="s">
        <v>665</v>
      </c>
      <c r="C98" s="1304">
        <f>C104+C107+C110+C113+C116+C119+C122+C125+C128+C131+C134+C138</f>
        <v>5665</v>
      </c>
      <c r="D98" s="1304"/>
      <c r="E98" s="1304">
        <v>5620</v>
      </c>
      <c r="F98" s="1304"/>
      <c r="G98" s="347">
        <v>5600</v>
      </c>
      <c r="H98" s="345">
        <f t="shared" si="9"/>
        <v>99.20564872021183</v>
      </c>
      <c r="I98" s="345">
        <f t="shared" si="8"/>
        <v>99.64412811387899</v>
      </c>
    </row>
    <row r="99" spans="1:9" s="211" customFormat="1" ht="15.75">
      <c r="A99" s="381"/>
      <c r="B99" s="380" t="s">
        <v>666</v>
      </c>
      <c r="C99" s="1305">
        <f>C100+C105+C108+C111+C114+C117+C120+C123+C126+C129+C132+C135</f>
        <v>7945</v>
      </c>
      <c r="D99" s="1305"/>
      <c r="E99" s="1305">
        <f>E100+E105+E108+E111+E114+E117+E120+E123+E126+E129+E132+E135</f>
        <v>8000</v>
      </c>
      <c r="F99" s="1305"/>
      <c r="G99" s="1274">
        <v>8000</v>
      </c>
      <c r="H99" s="343">
        <f t="shared" si="9"/>
        <v>100.69225928256765</v>
      </c>
      <c r="I99" s="343">
        <f t="shared" si="8"/>
        <v>100</v>
      </c>
    </row>
    <row r="100" spans="1:9" s="211" customFormat="1" ht="15.75">
      <c r="A100" s="381">
        <v>1</v>
      </c>
      <c r="B100" s="382" t="s">
        <v>667</v>
      </c>
      <c r="C100" s="1305">
        <f>C101+C102+C103</f>
        <v>1477</v>
      </c>
      <c r="D100" s="1305"/>
      <c r="E100" s="1305">
        <f>E101+E102+E103</f>
        <v>1580</v>
      </c>
      <c r="F100" s="1305"/>
      <c r="G100" s="1274">
        <v>1440</v>
      </c>
      <c r="H100" s="343">
        <f t="shared" si="9"/>
        <v>106.9735951252539</v>
      </c>
      <c r="I100" s="343">
        <f t="shared" si="8"/>
        <v>91.13924050632912</v>
      </c>
    </row>
    <row r="101" spans="1:9" ht="15.75">
      <c r="A101" s="383"/>
      <c r="B101" s="375" t="s">
        <v>662</v>
      </c>
      <c r="C101" s="1303">
        <v>150</v>
      </c>
      <c r="D101" s="1303"/>
      <c r="E101" s="1303">
        <v>180</v>
      </c>
      <c r="F101" s="1303"/>
      <c r="G101" s="347">
        <v>144</v>
      </c>
      <c r="H101" s="345">
        <f t="shared" si="9"/>
        <v>120</v>
      </c>
      <c r="I101" s="345">
        <f t="shared" si="8"/>
        <v>80</v>
      </c>
    </row>
    <row r="102" spans="1:9" ht="15.75">
      <c r="A102" s="379"/>
      <c r="B102" s="375" t="s">
        <v>663</v>
      </c>
      <c r="C102" s="1303">
        <v>100</v>
      </c>
      <c r="D102" s="1303"/>
      <c r="E102" s="1303">
        <v>150</v>
      </c>
      <c r="F102" s="1303"/>
      <c r="G102" s="347">
        <v>100.8</v>
      </c>
      <c r="H102" s="345">
        <f t="shared" si="9"/>
        <v>150</v>
      </c>
      <c r="I102" s="345">
        <f t="shared" si="8"/>
        <v>67.2</v>
      </c>
    </row>
    <row r="103" spans="1:9" ht="15.75">
      <c r="A103" s="379"/>
      <c r="B103" s="375" t="s">
        <v>664</v>
      </c>
      <c r="C103" s="1303">
        <v>1227</v>
      </c>
      <c r="D103" s="1303"/>
      <c r="E103" s="1303">
        <v>1250</v>
      </c>
      <c r="F103" s="1303"/>
      <c r="G103" s="347">
        <v>1195.2</v>
      </c>
      <c r="H103" s="345">
        <f t="shared" si="9"/>
        <v>101.87449062754686</v>
      </c>
      <c r="I103" s="345">
        <f t="shared" si="8"/>
        <v>95.616</v>
      </c>
    </row>
    <row r="104" spans="1:9" ht="15.75">
      <c r="A104" s="377"/>
      <c r="B104" s="378" t="s">
        <v>668</v>
      </c>
      <c r="C104" s="1304">
        <v>384</v>
      </c>
      <c r="D104" s="1304"/>
      <c r="E104" s="1304">
        <v>350</v>
      </c>
      <c r="F104" s="1304"/>
      <c r="G104" s="347">
        <v>374.4</v>
      </c>
      <c r="H104" s="345">
        <f t="shared" si="9"/>
        <v>91.14583333333334</v>
      </c>
      <c r="I104" s="345">
        <f t="shared" si="8"/>
        <v>106.97142857142856</v>
      </c>
    </row>
    <row r="105" spans="1:9" s="211" customFormat="1" ht="15.75">
      <c r="A105" s="381">
        <v>2</v>
      </c>
      <c r="B105" s="382" t="s">
        <v>669</v>
      </c>
      <c r="C105" s="1305">
        <f>C106</f>
        <v>316</v>
      </c>
      <c r="D105" s="1305"/>
      <c r="E105" s="1305">
        <f>E106</f>
        <v>370</v>
      </c>
      <c r="F105" s="1305"/>
      <c r="G105" s="1274">
        <v>320</v>
      </c>
      <c r="H105" s="343">
        <f t="shared" si="9"/>
        <v>117.0886075949367</v>
      </c>
      <c r="I105" s="343">
        <f t="shared" si="8"/>
        <v>86.48648648648648</v>
      </c>
    </row>
    <row r="106" spans="1:9" ht="15.75">
      <c r="A106" s="376"/>
      <c r="B106" s="375" t="s">
        <v>670</v>
      </c>
      <c r="C106" s="1303">
        <v>316</v>
      </c>
      <c r="D106" s="1303"/>
      <c r="E106" s="1303">
        <v>370</v>
      </c>
      <c r="F106" s="1303"/>
      <c r="G106" s="347">
        <v>320</v>
      </c>
      <c r="H106" s="345">
        <f t="shared" si="9"/>
        <v>117.0886075949367</v>
      </c>
      <c r="I106" s="345">
        <f t="shared" si="8"/>
        <v>86.48648648648648</v>
      </c>
    </row>
    <row r="107" spans="1:9" ht="15.75">
      <c r="A107" s="377"/>
      <c r="B107" s="378" t="s">
        <v>671</v>
      </c>
      <c r="C107" s="1304">
        <v>316</v>
      </c>
      <c r="D107" s="1304"/>
      <c r="E107" s="1304">
        <v>370</v>
      </c>
      <c r="F107" s="1304"/>
      <c r="G107" s="347">
        <v>320</v>
      </c>
      <c r="H107" s="345">
        <f t="shared" si="9"/>
        <v>117.0886075949367</v>
      </c>
      <c r="I107" s="345">
        <f t="shared" si="8"/>
        <v>86.48648648648648</v>
      </c>
    </row>
    <row r="108" spans="1:9" s="211" customFormat="1" ht="15.75">
      <c r="A108" s="381">
        <v>3</v>
      </c>
      <c r="B108" s="382" t="s">
        <v>672</v>
      </c>
      <c r="C108" s="1305">
        <f>C109</f>
        <v>216</v>
      </c>
      <c r="D108" s="1305"/>
      <c r="E108" s="1305">
        <f>E109</f>
        <v>270</v>
      </c>
      <c r="F108" s="1305"/>
      <c r="G108" s="1274">
        <v>240</v>
      </c>
      <c r="H108" s="343">
        <f t="shared" si="9"/>
        <v>124.99999999999999</v>
      </c>
      <c r="I108" s="343">
        <f t="shared" si="8"/>
        <v>88.88888888888889</v>
      </c>
    </row>
    <row r="109" spans="1:9" ht="15.75">
      <c r="A109" s="376"/>
      <c r="B109" s="375" t="s">
        <v>670</v>
      </c>
      <c r="C109" s="1303">
        <v>216</v>
      </c>
      <c r="D109" s="1303"/>
      <c r="E109" s="1303">
        <v>270</v>
      </c>
      <c r="F109" s="1303"/>
      <c r="G109" s="347">
        <v>240</v>
      </c>
      <c r="H109" s="345">
        <f t="shared" si="9"/>
        <v>124.99999999999999</v>
      </c>
      <c r="I109" s="345">
        <f t="shared" si="8"/>
        <v>88.88888888888889</v>
      </c>
    </row>
    <row r="110" spans="1:9" ht="15.75">
      <c r="A110" s="377"/>
      <c r="B110" s="378" t="s">
        <v>671</v>
      </c>
      <c r="C110" s="1304">
        <v>216</v>
      </c>
      <c r="D110" s="1304"/>
      <c r="E110" s="1304">
        <v>270</v>
      </c>
      <c r="F110" s="1304"/>
      <c r="G110" s="347">
        <v>240</v>
      </c>
      <c r="H110" s="345">
        <f t="shared" si="9"/>
        <v>124.99999999999999</v>
      </c>
      <c r="I110" s="345">
        <f t="shared" si="8"/>
        <v>88.88888888888889</v>
      </c>
    </row>
    <row r="111" spans="1:9" s="211" customFormat="1" ht="15.75">
      <c r="A111" s="381">
        <v>4</v>
      </c>
      <c r="B111" s="382" t="s">
        <v>673</v>
      </c>
      <c r="C111" s="1305">
        <f>C112</f>
        <v>890</v>
      </c>
      <c r="D111" s="1305"/>
      <c r="E111" s="1305">
        <f>E112</f>
        <v>950</v>
      </c>
      <c r="F111" s="1305"/>
      <c r="G111" s="1274">
        <v>880</v>
      </c>
      <c r="H111" s="343">
        <f t="shared" si="9"/>
        <v>106.74157303370787</v>
      </c>
      <c r="I111" s="343">
        <f t="shared" si="8"/>
        <v>92.63157894736842</v>
      </c>
    </row>
    <row r="112" spans="1:9" ht="15.75">
      <c r="A112" s="376"/>
      <c r="B112" s="375" t="s">
        <v>670</v>
      </c>
      <c r="C112" s="1303">
        <v>890</v>
      </c>
      <c r="D112" s="1303"/>
      <c r="E112" s="1303">
        <v>950</v>
      </c>
      <c r="F112" s="1303"/>
      <c r="G112" s="347">
        <v>880</v>
      </c>
      <c r="H112" s="345">
        <f t="shared" si="9"/>
        <v>106.74157303370787</v>
      </c>
      <c r="I112" s="345">
        <f t="shared" si="8"/>
        <v>92.63157894736842</v>
      </c>
    </row>
    <row r="113" spans="1:9" ht="15.75">
      <c r="A113" s="377"/>
      <c r="B113" s="378" t="s">
        <v>671</v>
      </c>
      <c r="C113" s="1304">
        <v>890</v>
      </c>
      <c r="D113" s="1304"/>
      <c r="E113" s="1304">
        <v>950</v>
      </c>
      <c r="F113" s="1304"/>
      <c r="G113" s="347">
        <v>880</v>
      </c>
      <c r="H113" s="345">
        <f t="shared" si="9"/>
        <v>106.74157303370787</v>
      </c>
      <c r="I113" s="345">
        <f t="shared" si="8"/>
        <v>92.63157894736842</v>
      </c>
    </row>
    <row r="114" spans="1:9" s="211" customFormat="1" ht="15.75">
      <c r="A114" s="381">
        <v>5</v>
      </c>
      <c r="B114" s="382" t="s">
        <v>674</v>
      </c>
      <c r="C114" s="1305">
        <f>C115</f>
        <v>1086</v>
      </c>
      <c r="D114" s="1305"/>
      <c r="E114" s="1305">
        <f>E115</f>
        <v>1130</v>
      </c>
      <c r="F114" s="1305"/>
      <c r="G114" s="1274">
        <v>1120</v>
      </c>
      <c r="H114" s="343">
        <f t="shared" si="9"/>
        <v>104.05156537753223</v>
      </c>
      <c r="I114" s="343">
        <f t="shared" si="8"/>
        <v>99.11504424778761</v>
      </c>
    </row>
    <row r="115" spans="1:9" ht="15.75">
      <c r="A115" s="376"/>
      <c r="B115" s="375" t="s">
        <v>670</v>
      </c>
      <c r="C115" s="1303">
        <v>1086</v>
      </c>
      <c r="D115" s="1303"/>
      <c r="E115" s="1303">
        <v>1130</v>
      </c>
      <c r="F115" s="1303"/>
      <c r="G115" s="347">
        <v>1120</v>
      </c>
      <c r="H115" s="345">
        <f t="shared" si="9"/>
        <v>104.05156537753223</v>
      </c>
      <c r="I115" s="345">
        <f t="shared" si="8"/>
        <v>99.11504424778761</v>
      </c>
    </row>
    <row r="116" spans="1:9" ht="15.75">
      <c r="A116" s="377"/>
      <c r="B116" s="378" t="s">
        <v>671</v>
      </c>
      <c r="C116" s="1304">
        <v>1086</v>
      </c>
      <c r="D116" s="1304"/>
      <c r="E116" s="1304">
        <v>1130</v>
      </c>
      <c r="F116" s="1304"/>
      <c r="G116" s="347">
        <v>1120</v>
      </c>
      <c r="H116" s="345">
        <f t="shared" si="9"/>
        <v>104.05156537753223</v>
      </c>
      <c r="I116" s="345">
        <f t="shared" si="8"/>
        <v>99.11504424778761</v>
      </c>
    </row>
    <row r="117" spans="1:9" s="211" customFormat="1" ht="15.75">
      <c r="A117" s="381">
        <v>6</v>
      </c>
      <c r="B117" s="382" t="s">
        <v>675</v>
      </c>
      <c r="C117" s="1305">
        <f>C118</f>
        <v>315</v>
      </c>
      <c r="D117" s="1305"/>
      <c r="E117" s="1305">
        <f>E118</f>
        <v>330</v>
      </c>
      <c r="F117" s="1305"/>
      <c r="G117" s="1274">
        <v>400</v>
      </c>
      <c r="H117" s="343">
        <f t="shared" si="9"/>
        <v>104.76190476190476</v>
      </c>
      <c r="I117" s="343">
        <f t="shared" si="8"/>
        <v>121.21212121212122</v>
      </c>
    </row>
    <row r="118" spans="1:9" ht="15.75">
      <c r="A118" s="376"/>
      <c r="B118" s="375" t="s">
        <v>670</v>
      </c>
      <c r="C118" s="1303">
        <v>315</v>
      </c>
      <c r="D118" s="1303"/>
      <c r="E118" s="1303">
        <v>330</v>
      </c>
      <c r="F118" s="1303"/>
      <c r="G118" s="347">
        <v>400</v>
      </c>
      <c r="H118" s="345">
        <f t="shared" si="9"/>
        <v>104.76190476190476</v>
      </c>
      <c r="I118" s="345">
        <f t="shared" si="8"/>
        <v>121.21212121212122</v>
      </c>
    </row>
    <row r="119" spans="1:9" ht="15.75">
      <c r="A119" s="377"/>
      <c r="B119" s="378" t="s">
        <v>671</v>
      </c>
      <c r="C119" s="1304">
        <f>C118</f>
        <v>315</v>
      </c>
      <c r="D119" s="1304"/>
      <c r="E119" s="1304">
        <f>E118</f>
        <v>330</v>
      </c>
      <c r="F119" s="1304"/>
      <c r="G119" s="347">
        <v>400</v>
      </c>
      <c r="H119" s="345">
        <f t="shared" si="9"/>
        <v>104.76190476190476</v>
      </c>
      <c r="I119" s="345">
        <f t="shared" si="8"/>
        <v>121.21212121212122</v>
      </c>
    </row>
    <row r="120" spans="1:9" s="211" customFormat="1" ht="15.75">
      <c r="A120" s="381">
        <v>7</v>
      </c>
      <c r="B120" s="382" t="s">
        <v>676</v>
      </c>
      <c r="C120" s="1305">
        <f>C121</f>
        <v>467</v>
      </c>
      <c r="D120" s="1305"/>
      <c r="E120" s="1305">
        <f>E121</f>
        <v>500</v>
      </c>
      <c r="F120" s="1305"/>
      <c r="G120" s="1274">
        <v>480</v>
      </c>
      <c r="H120" s="343">
        <f t="shared" si="9"/>
        <v>107.06638115631692</v>
      </c>
      <c r="I120" s="343">
        <f t="shared" si="8"/>
        <v>96</v>
      </c>
    </row>
    <row r="121" spans="1:9" ht="15.75">
      <c r="A121" s="376"/>
      <c r="B121" s="375" t="s">
        <v>670</v>
      </c>
      <c r="C121" s="1303">
        <v>467</v>
      </c>
      <c r="D121" s="1303"/>
      <c r="E121" s="1303">
        <v>500</v>
      </c>
      <c r="F121" s="1303"/>
      <c r="G121" s="347">
        <v>480</v>
      </c>
      <c r="H121" s="345">
        <f t="shared" si="9"/>
        <v>107.06638115631692</v>
      </c>
      <c r="I121" s="345">
        <f t="shared" si="8"/>
        <v>96</v>
      </c>
    </row>
    <row r="122" spans="1:9" ht="15.75">
      <c r="A122" s="377"/>
      <c r="B122" s="378" t="s">
        <v>671</v>
      </c>
      <c r="C122" s="1304">
        <f>C121</f>
        <v>467</v>
      </c>
      <c r="D122" s="1304"/>
      <c r="E122" s="1304">
        <f>E121</f>
        <v>500</v>
      </c>
      <c r="F122" s="1304"/>
      <c r="G122" s="347">
        <v>480</v>
      </c>
      <c r="H122" s="345">
        <f t="shared" si="9"/>
        <v>107.06638115631692</v>
      </c>
      <c r="I122" s="345">
        <f t="shared" si="8"/>
        <v>96</v>
      </c>
    </row>
    <row r="123" spans="1:9" s="211" customFormat="1" ht="15.75">
      <c r="A123" s="381">
        <v>8</v>
      </c>
      <c r="B123" s="382" t="s">
        <v>677</v>
      </c>
      <c r="C123" s="1305">
        <f>C124</f>
        <v>194</v>
      </c>
      <c r="D123" s="1305"/>
      <c r="E123" s="1305">
        <f>E124</f>
        <v>300</v>
      </c>
      <c r="F123" s="1305"/>
      <c r="G123" s="1274">
        <v>160</v>
      </c>
      <c r="H123" s="343">
        <f t="shared" si="9"/>
        <v>154.63917525773195</v>
      </c>
      <c r="I123" s="343">
        <f t="shared" si="8"/>
        <v>53.333333333333336</v>
      </c>
    </row>
    <row r="124" spans="1:9" ht="15.75">
      <c r="A124" s="376"/>
      <c r="B124" s="375" t="s">
        <v>670</v>
      </c>
      <c r="C124" s="1303">
        <v>194</v>
      </c>
      <c r="D124" s="1303"/>
      <c r="E124" s="1303">
        <v>300</v>
      </c>
      <c r="F124" s="1303"/>
      <c r="G124" s="347">
        <v>160</v>
      </c>
      <c r="H124" s="345">
        <f t="shared" si="9"/>
        <v>154.63917525773195</v>
      </c>
      <c r="I124" s="345">
        <f t="shared" si="8"/>
        <v>53.333333333333336</v>
      </c>
    </row>
    <row r="125" spans="1:9" ht="15.75">
      <c r="A125" s="377"/>
      <c r="B125" s="378" t="s">
        <v>671</v>
      </c>
      <c r="C125" s="1304">
        <f>C124</f>
        <v>194</v>
      </c>
      <c r="D125" s="1304"/>
      <c r="E125" s="1304">
        <f>E124</f>
        <v>300</v>
      </c>
      <c r="F125" s="1304"/>
      <c r="G125" s="347">
        <v>160</v>
      </c>
      <c r="H125" s="345">
        <f t="shared" si="9"/>
        <v>154.63917525773195</v>
      </c>
      <c r="I125" s="345">
        <f t="shared" si="8"/>
        <v>53.333333333333336</v>
      </c>
    </row>
    <row r="126" spans="1:9" s="211" customFormat="1" ht="15.75">
      <c r="A126" s="381">
        <v>9</v>
      </c>
      <c r="B126" s="382" t="s">
        <v>678</v>
      </c>
      <c r="C126" s="1305">
        <f>C127</f>
        <v>327</v>
      </c>
      <c r="D126" s="1305"/>
      <c r="E126" s="1305">
        <f>E127</f>
        <v>420</v>
      </c>
      <c r="F126" s="1305"/>
      <c r="G126" s="1274">
        <v>320</v>
      </c>
      <c r="H126" s="343">
        <f t="shared" si="9"/>
        <v>128.44036697247705</v>
      </c>
      <c r="I126" s="343">
        <f t="shared" si="8"/>
        <v>76.19047619047619</v>
      </c>
    </row>
    <row r="127" spans="1:9" ht="15.75">
      <c r="A127" s="376"/>
      <c r="B127" s="375" t="s">
        <v>670</v>
      </c>
      <c r="C127" s="1303">
        <v>327</v>
      </c>
      <c r="D127" s="1303"/>
      <c r="E127" s="1303">
        <v>420</v>
      </c>
      <c r="F127" s="1303"/>
      <c r="G127" s="347">
        <v>320</v>
      </c>
      <c r="H127" s="345">
        <f t="shared" si="9"/>
        <v>128.44036697247705</v>
      </c>
      <c r="I127" s="345">
        <f t="shared" si="8"/>
        <v>76.19047619047619</v>
      </c>
    </row>
    <row r="128" spans="1:9" ht="15.75">
      <c r="A128" s="377"/>
      <c r="B128" s="378" t="s">
        <v>671</v>
      </c>
      <c r="C128" s="1304">
        <v>327</v>
      </c>
      <c r="D128" s="1304"/>
      <c r="E128" s="1304">
        <v>420</v>
      </c>
      <c r="F128" s="1304"/>
      <c r="G128" s="347">
        <v>320</v>
      </c>
      <c r="H128" s="345">
        <f t="shared" si="9"/>
        <v>128.44036697247705</v>
      </c>
      <c r="I128" s="345">
        <f t="shared" si="8"/>
        <v>76.19047619047619</v>
      </c>
    </row>
    <row r="129" spans="1:9" s="211" customFormat="1" ht="15.75">
      <c r="A129" s="381">
        <v>10</v>
      </c>
      <c r="B129" s="382" t="s">
        <v>679</v>
      </c>
      <c r="C129" s="1305">
        <f>C130</f>
        <v>694</v>
      </c>
      <c r="D129" s="1305"/>
      <c r="E129" s="1305">
        <f>E130</f>
        <v>730</v>
      </c>
      <c r="F129" s="1305"/>
      <c r="G129" s="1274">
        <v>720</v>
      </c>
      <c r="H129" s="343">
        <f t="shared" si="9"/>
        <v>105.18731988472622</v>
      </c>
      <c r="I129" s="343">
        <f t="shared" si="8"/>
        <v>98.63013698630137</v>
      </c>
    </row>
    <row r="130" spans="1:9" ht="15.75">
      <c r="A130" s="376"/>
      <c r="B130" s="375" t="s">
        <v>670</v>
      </c>
      <c r="C130" s="1303">
        <v>694</v>
      </c>
      <c r="D130" s="1303"/>
      <c r="E130" s="1303">
        <v>730</v>
      </c>
      <c r="F130" s="1303"/>
      <c r="G130" s="347">
        <v>720</v>
      </c>
      <c r="H130" s="345">
        <f t="shared" si="9"/>
        <v>105.18731988472622</v>
      </c>
      <c r="I130" s="345">
        <f t="shared" si="8"/>
        <v>98.63013698630137</v>
      </c>
    </row>
    <row r="131" spans="1:9" ht="15.75">
      <c r="A131" s="377"/>
      <c r="B131" s="378" t="s">
        <v>671</v>
      </c>
      <c r="C131" s="1304">
        <v>694</v>
      </c>
      <c r="D131" s="1304"/>
      <c r="E131" s="1304">
        <v>730</v>
      </c>
      <c r="F131" s="1304"/>
      <c r="G131" s="347">
        <v>720</v>
      </c>
      <c r="H131" s="345">
        <f t="shared" si="9"/>
        <v>105.18731988472622</v>
      </c>
      <c r="I131" s="345">
        <f t="shared" si="8"/>
        <v>98.63013698630137</v>
      </c>
    </row>
    <row r="132" spans="1:9" s="211" customFormat="1" ht="15.75">
      <c r="A132" s="381">
        <v>11</v>
      </c>
      <c r="B132" s="382" t="s">
        <v>680</v>
      </c>
      <c r="C132" s="1305">
        <f>C133</f>
        <v>175</v>
      </c>
      <c r="D132" s="1305"/>
      <c r="E132" s="1305">
        <f>E133</f>
        <v>270</v>
      </c>
      <c r="F132" s="1305"/>
      <c r="G132" s="1274">
        <v>160</v>
      </c>
      <c r="H132" s="343">
        <f t="shared" si="9"/>
        <v>154.28571428571428</v>
      </c>
      <c r="I132" s="343">
        <f t="shared" si="8"/>
        <v>59.25925925925925</v>
      </c>
    </row>
    <row r="133" spans="1:9" ht="15.75">
      <c r="A133" s="376"/>
      <c r="B133" s="375" t="s">
        <v>670</v>
      </c>
      <c r="C133" s="1303">
        <v>175</v>
      </c>
      <c r="D133" s="1303"/>
      <c r="E133" s="1303">
        <v>270</v>
      </c>
      <c r="F133" s="1303"/>
      <c r="G133" s="347">
        <v>160</v>
      </c>
      <c r="H133" s="345">
        <f t="shared" si="9"/>
        <v>154.28571428571428</v>
      </c>
      <c r="I133" s="345">
        <f t="shared" si="8"/>
        <v>59.25925925925925</v>
      </c>
    </row>
    <row r="134" spans="1:9" ht="15.75">
      <c r="A134" s="377"/>
      <c r="B134" s="378" t="s">
        <v>671</v>
      </c>
      <c r="C134" s="1304">
        <v>175</v>
      </c>
      <c r="D134" s="1304"/>
      <c r="E134" s="1304">
        <v>270</v>
      </c>
      <c r="F134" s="1304"/>
      <c r="G134" s="347">
        <v>160</v>
      </c>
      <c r="H134" s="345">
        <f t="shared" si="9"/>
        <v>154.28571428571428</v>
      </c>
      <c r="I134" s="345">
        <f t="shared" si="8"/>
        <v>59.25925925925925</v>
      </c>
    </row>
    <row r="135" spans="1:9" s="211" customFormat="1" ht="15.75">
      <c r="A135" s="381">
        <v>12</v>
      </c>
      <c r="B135" s="382" t="s">
        <v>681</v>
      </c>
      <c r="C135" s="1305">
        <f>C136+C137</f>
        <v>1788</v>
      </c>
      <c r="D135" s="1305"/>
      <c r="E135" s="1305">
        <f>E136+E137</f>
        <v>1150</v>
      </c>
      <c r="F135" s="1305"/>
      <c r="G135" s="1274">
        <v>1760</v>
      </c>
      <c r="H135" s="343">
        <f t="shared" si="9"/>
        <v>64.31767337807607</v>
      </c>
      <c r="I135" s="343">
        <f t="shared" si="8"/>
        <v>153.04347826086956</v>
      </c>
    </row>
    <row r="136" spans="1:9" ht="15.75">
      <c r="A136" s="376"/>
      <c r="B136" s="375" t="s">
        <v>682</v>
      </c>
      <c r="C136" s="1303">
        <v>166</v>
      </c>
      <c r="D136" s="1303"/>
      <c r="E136" s="1303">
        <v>150</v>
      </c>
      <c r="F136" s="1303"/>
      <c r="G136" s="347">
        <v>158</v>
      </c>
      <c r="H136" s="345">
        <f t="shared" si="9"/>
        <v>90.36144578313254</v>
      </c>
      <c r="I136" s="345">
        <f t="shared" si="8"/>
        <v>105.33333333333333</v>
      </c>
    </row>
    <row r="137" spans="1:9" ht="15.75">
      <c r="A137" s="377"/>
      <c r="B137" s="375" t="s">
        <v>670</v>
      </c>
      <c r="C137" s="1303">
        <v>1622</v>
      </c>
      <c r="D137" s="1303"/>
      <c r="E137" s="1303">
        <v>1000</v>
      </c>
      <c r="F137" s="1303"/>
      <c r="G137" s="347">
        <v>1602</v>
      </c>
      <c r="H137" s="345">
        <f t="shared" si="9"/>
        <v>61.652281134401974</v>
      </c>
      <c r="I137" s="345">
        <f t="shared" si="8"/>
        <v>160.2</v>
      </c>
    </row>
    <row r="138" spans="1:9" ht="15.75">
      <c r="A138" s="384"/>
      <c r="B138" s="378" t="s">
        <v>671</v>
      </c>
      <c r="C138" s="1303">
        <v>601</v>
      </c>
      <c r="D138" s="1303"/>
      <c r="E138" s="1303">
        <v>380</v>
      </c>
      <c r="F138" s="1303"/>
      <c r="G138" s="347">
        <v>598</v>
      </c>
      <c r="H138" s="345">
        <f t="shared" si="9"/>
        <v>63.2279534109817</v>
      </c>
      <c r="I138" s="345">
        <f t="shared" si="8"/>
        <v>157.3684210526316</v>
      </c>
    </row>
  </sheetData>
  <sheetProtection/>
  <mergeCells count="9">
    <mergeCell ref="A5:A6"/>
    <mergeCell ref="B5:B6"/>
    <mergeCell ref="C5:C6"/>
    <mergeCell ref="E5:E6"/>
    <mergeCell ref="A2:I2"/>
    <mergeCell ref="A3:I3"/>
    <mergeCell ref="G4:I4"/>
    <mergeCell ref="G5:G6"/>
    <mergeCell ref="H5:I5"/>
  </mergeCells>
  <printOptions/>
  <pageMargins left="0.9055118110236221" right="0.31496062992125984" top="0.5905511811023623" bottom="0.7086614173228347" header="0.31496062992125984" footer="0.35433070866141736"/>
  <pageSetup horizontalDpi="600" verticalDpi="600" orientation="portrait" paperSize="9" scale="90" r:id="rId1"/>
  <headerFooter>
    <oddFooter>&amp;R&amp;P</oddFooter>
  </headerFooter>
</worksheet>
</file>

<file path=xl/worksheets/sheet8.xml><?xml version="1.0" encoding="utf-8"?>
<worksheet xmlns="http://schemas.openxmlformats.org/spreadsheetml/2006/main" xmlns:r="http://schemas.openxmlformats.org/officeDocument/2006/relationships">
  <sheetPr>
    <tabColor rgb="FFFF0000"/>
  </sheetPr>
  <dimension ref="A1:DG121"/>
  <sheetViews>
    <sheetView view="pageBreakPreview" zoomScale="85" zoomScaleSheetLayoutView="85" zoomScalePageLayoutView="0" workbookViewId="0" topLeftCell="A1">
      <pane xSplit="3" ySplit="6" topLeftCell="D46" activePane="bottomRight" state="frozen"/>
      <selection pane="topLeft" activeCell="A1" sqref="A1"/>
      <selection pane="topRight" activeCell="D1" sqref="D1"/>
      <selection pane="bottomLeft" activeCell="A7" sqref="A7"/>
      <selection pane="bottomRight" activeCell="J51" sqref="J51"/>
    </sheetView>
  </sheetViews>
  <sheetFormatPr defaultColWidth="8.125" defaultRowHeight="15.75"/>
  <cols>
    <col min="1" max="1" width="4.50390625" style="228" customWidth="1"/>
    <col min="2" max="2" width="31.75390625" style="223" customWidth="1"/>
    <col min="3" max="3" width="6.875" style="223" customWidth="1"/>
    <col min="4" max="4" width="8.625" style="223" customWidth="1"/>
    <col min="5" max="5" width="8.25390625" style="223" customWidth="1"/>
    <col min="6" max="6" width="8.125" style="1201" customWidth="1"/>
    <col min="7" max="7" width="7.625" style="223" customWidth="1"/>
    <col min="8" max="8" width="7.50390625" style="223" customWidth="1"/>
    <col min="9" max="9" width="7.375" style="223" customWidth="1"/>
    <col min="10" max="10" width="6.625" style="223" customWidth="1"/>
    <col min="11" max="11" width="7.875" style="223" customWidth="1"/>
    <col min="12" max="13" width="7.50390625" style="223" customWidth="1"/>
    <col min="14" max="14" width="7.25390625" style="223" customWidth="1"/>
    <col min="15" max="15" width="7.50390625" style="223" customWidth="1"/>
    <col min="16" max="16" width="7.125" style="223" customWidth="1"/>
    <col min="17" max="17" width="6.50390625" style="223" customWidth="1"/>
    <col min="18" max="18" width="6.75390625" style="223" customWidth="1"/>
    <col min="19" max="19" width="8.125" style="223" customWidth="1"/>
    <col min="20" max="20" width="10.25390625" style="223" customWidth="1"/>
    <col min="21" max="27" width="4.00390625" style="223" customWidth="1"/>
    <col min="28" max="33" width="8.125" style="223" customWidth="1"/>
    <col min="34" max="77" width="9.00390625" style="223" customWidth="1"/>
    <col min="78" max="78" width="5.00390625" style="223" customWidth="1"/>
    <col min="79" max="243" width="9.00390625" style="223" customWidth="1"/>
    <col min="244" max="16384" width="8.125" style="223" customWidth="1"/>
  </cols>
  <sheetData>
    <row r="1" spans="1:6" s="292" customFormat="1" ht="15">
      <c r="A1" s="221" t="s">
        <v>683</v>
      </c>
      <c r="F1" s="535"/>
    </row>
    <row r="2" spans="1:18" ht="21.75" customHeight="1">
      <c r="A2" s="1429" t="s">
        <v>1300</v>
      </c>
      <c r="B2" s="1413"/>
      <c r="C2" s="1413"/>
      <c r="D2" s="1413"/>
      <c r="E2" s="1413"/>
      <c r="F2" s="1413"/>
      <c r="G2" s="1413"/>
      <c r="H2" s="1413"/>
      <c r="I2" s="1413"/>
      <c r="J2" s="1413"/>
      <c r="K2" s="1413"/>
      <c r="L2" s="1413"/>
      <c r="M2" s="1413"/>
      <c r="N2" s="1413"/>
      <c r="O2" s="1413"/>
      <c r="P2" s="1413"/>
      <c r="Q2" s="1413"/>
      <c r="R2" s="1413"/>
    </row>
    <row r="3" spans="1:18" s="333" customFormat="1" ht="15" customHeight="1">
      <c r="A3" s="1430" t="s">
        <v>1399</v>
      </c>
      <c r="B3" s="1430"/>
      <c r="C3" s="1430"/>
      <c r="D3" s="1430"/>
      <c r="E3" s="1430"/>
      <c r="F3" s="1430"/>
      <c r="G3" s="1430"/>
      <c r="H3" s="1430"/>
      <c r="I3" s="1430"/>
      <c r="J3" s="1430"/>
      <c r="K3" s="1430"/>
      <c r="L3" s="1430"/>
      <c r="M3" s="1430"/>
      <c r="N3" s="1430"/>
      <c r="O3" s="1430"/>
      <c r="P3" s="1430"/>
      <c r="Q3" s="1430"/>
      <c r="R3" s="1430"/>
    </row>
    <row r="4" spans="1:18" ht="12" customHeight="1">
      <c r="A4" s="268"/>
      <c r="B4" s="268"/>
      <c r="C4" s="268"/>
      <c r="D4" s="268"/>
      <c r="E4" s="268"/>
      <c r="F4" s="1190"/>
      <c r="G4" s="268"/>
      <c r="H4" s="268"/>
      <c r="I4" s="268"/>
      <c r="J4" s="268"/>
      <c r="K4" s="268"/>
      <c r="L4" s="268"/>
      <c r="M4" s="268"/>
      <c r="N4" s="268"/>
      <c r="O4" s="268"/>
      <c r="P4" s="268"/>
      <c r="Q4" s="268"/>
      <c r="R4" s="268"/>
    </row>
    <row r="5" spans="1:18" s="292" customFormat="1" ht="23.25" customHeight="1">
      <c r="A5" s="1431" t="s">
        <v>684</v>
      </c>
      <c r="B5" s="1432" t="s">
        <v>621</v>
      </c>
      <c r="C5" s="1431" t="s">
        <v>215</v>
      </c>
      <c r="D5" s="1431" t="s">
        <v>1294</v>
      </c>
      <c r="E5" s="1431" t="s">
        <v>1295</v>
      </c>
      <c r="F5" s="1433" t="s">
        <v>1287</v>
      </c>
      <c r="G5" s="1431" t="s">
        <v>685</v>
      </c>
      <c r="H5" s="1431"/>
      <c r="I5" s="1431"/>
      <c r="J5" s="1431"/>
      <c r="K5" s="1431"/>
      <c r="L5" s="1431"/>
      <c r="M5" s="1431"/>
      <c r="N5" s="1431"/>
      <c r="O5" s="1431"/>
      <c r="P5" s="1431"/>
      <c r="Q5" s="1428" t="s">
        <v>517</v>
      </c>
      <c r="R5" s="1428"/>
    </row>
    <row r="6" spans="1:18" s="292" customFormat="1" ht="40.5" customHeight="1">
      <c r="A6" s="1431"/>
      <c r="B6" s="1432"/>
      <c r="C6" s="1431"/>
      <c r="D6" s="1431"/>
      <c r="E6" s="1431"/>
      <c r="F6" s="1433"/>
      <c r="G6" s="869" t="s">
        <v>560</v>
      </c>
      <c r="H6" s="869" t="s">
        <v>500</v>
      </c>
      <c r="I6" s="869" t="s">
        <v>686</v>
      </c>
      <c r="J6" s="869" t="s">
        <v>672</v>
      </c>
      <c r="K6" s="869" t="s">
        <v>565</v>
      </c>
      <c r="L6" s="869" t="s">
        <v>566</v>
      </c>
      <c r="M6" s="869" t="s">
        <v>568</v>
      </c>
      <c r="N6" s="869" t="s">
        <v>563</v>
      </c>
      <c r="O6" s="869" t="s">
        <v>562</v>
      </c>
      <c r="P6" s="869" t="s">
        <v>564</v>
      </c>
      <c r="Q6" s="335" t="s">
        <v>984</v>
      </c>
      <c r="R6" s="335" t="s">
        <v>1296</v>
      </c>
    </row>
    <row r="7" spans="1:20" s="293" customFormat="1" ht="18.75" customHeight="1">
      <c r="A7" s="968" t="s">
        <v>687</v>
      </c>
      <c r="B7" s="971" t="s">
        <v>688</v>
      </c>
      <c r="C7" s="968" t="s">
        <v>185</v>
      </c>
      <c r="D7" s="978">
        <f>D9+D26</f>
        <v>190640</v>
      </c>
      <c r="E7" s="978">
        <f aca="true" t="shared" si="0" ref="E7:P7">E9+E26</f>
        <v>194995</v>
      </c>
      <c r="F7" s="978">
        <f t="shared" si="0"/>
        <v>196719</v>
      </c>
      <c r="G7" s="978">
        <f t="shared" si="0"/>
        <v>18448</v>
      </c>
      <c r="H7" s="978">
        <f t="shared" si="0"/>
        <v>32742</v>
      </c>
      <c r="I7" s="978">
        <f t="shared" si="0"/>
        <v>23659</v>
      </c>
      <c r="J7" s="978">
        <f t="shared" si="0"/>
        <v>3258</v>
      </c>
      <c r="K7" s="978">
        <f t="shared" si="0"/>
        <v>18104</v>
      </c>
      <c r="L7" s="978">
        <f t="shared" si="0"/>
        <v>17560</v>
      </c>
      <c r="M7" s="978">
        <f t="shared" si="0"/>
        <v>21627</v>
      </c>
      <c r="N7" s="978">
        <f t="shared" si="0"/>
        <v>15200</v>
      </c>
      <c r="O7" s="978">
        <f t="shared" si="0"/>
        <v>26720</v>
      </c>
      <c r="P7" s="978">
        <f t="shared" si="0"/>
        <v>19401</v>
      </c>
      <c r="Q7" s="979">
        <f>E7/D7*100</f>
        <v>102.28441040704995</v>
      </c>
      <c r="R7" s="979">
        <f>F7/E7*100</f>
        <v>100.88412523398036</v>
      </c>
      <c r="T7" s="294"/>
    </row>
    <row r="8" spans="1:20" s="293" customFormat="1" ht="15.75" customHeight="1">
      <c r="A8" s="968">
        <v>1</v>
      </c>
      <c r="B8" s="971" t="s">
        <v>689</v>
      </c>
      <c r="C8" s="980"/>
      <c r="D8" s="981"/>
      <c r="E8" s="982"/>
      <c r="F8" s="983"/>
      <c r="G8" s="983"/>
      <c r="H8" s="983"/>
      <c r="I8" s="983"/>
      <c r="J8" s="983"/>
      <c r="K8" s="983"/>
      <c r="L8" s="983"/>
      <c r="M8" s="983"/>
      <c r="N8" s="983"/>
      <c r="O8" s="983"/>
      <c r="P8" s="983"/>
      <c r="Q8" s="977"/>
      <c r="R8" s="977"/>
      <c r="T8" s="295"/>
    </row>
    <row r="9" spans="1:20" s="293" customFormat="1" ht="15.75" customHeight="1">
      <c r="A9" s="968" t="s">
        <v>690</v>
      </c>
      <c r="B9" s="971" t="s">
        <v>691</v>
      </c>
      <c r="C9" s="980" t="s">
        <v>692</v>
      </c>
      <c r="D9" s="962">
        <f>SUM(D10:D11)</f>
        <v>58948</v>
      </c>
      <c r="E9" s="962">
        <f aca="true" t="shared" si="1" ref="E9:P9">SUM(E10:E11)</f>
        <v>59868</v>
      </c>
      <c r="F9" s="962">
        <f t="shared" si="1"/>
        <v>58491</v>
      </c>
      <c r="G9" s="962">
        <f t="shared" si="1"/>
        <v>4508</v>
      </c>
      <c r="H9" s="962">
        <f t="shared" si="1"/>
        <v>9612</v>
      </c>
      <c r="I9" s="962">
        <f t="shared" si="1"/>
        <v>7894</v>
      </c>
      <c r="J9" s="962">
        <f t="shared" si="1"/>
        <v>888</v>
      </c>
      <c r="K9" s="962">
        <f t="shared" si="1"/>
        <v>5864</v>
      </c>
      <c r="L9" s="962">
        <f t="shared" si="1"/>
        <v>5060</v>
      </c>
      <c r="M9" s="962">
        <f t="shared" si="1"/>
        <v>7227</v>
      </c>
      <c r="N9" s="962">
        <f t="shared" si="1"/>
        <v>4270</v>
      </c>
      <c r="O9" s="962">
        <f t="shared" si="1"/>
        <v>7940</v>
      </c>
      <c r="P9" s="962">
        <f t="shared" si="1"/>
        <v>5228</v>
      </c>
      <c r="Q9" s="979">
        <v>100.22392617222</v>
      </c>
      <c r="R9" s="979">
        <v>99.91536899119838</v>
      </c>
      <c r="T9" s="294"/>
    </row>
    <row r="10" spans="1:18" s="293" customFormat="1" ht="15.75" customHeight="1">
      <c r="A10" s="984"/>
      <c r="B10" s="985" t="s">
        <v>693</v>
      </c>
      <c r="C10" s="980" t="s">
        <v>692</v>
      </c>
      <c r="D10" s="986">
        <v>13553</v>
      </c>
      <c r="E10" s="986">
        <v>13935</v>
      </c>
      <c r="F10" s="1191">
        <f aca="true" t="shared" si="2" ref="F10:F16">SUM(G10:P10)</f>
        <v>14511</v>
      </c>
      <c r="G10" s="987">
        <v>1020</v>
      </c>
      <c r="H10" s="988">
        <v>2642</v>
      </c>
      <c r="I10" s="988">
        <v>2350</v>
      </c>
      <c r="J10" s="988">
        <v>254</v>
      </c>
      <c r="K10" s="988">
        <v>1585</v>
      </c>
      <c r="L10" s="988">
        <v>895</v>
      </c>
      <c r="M10" s="988">
        <v>1833</v>
      </c>
      <c r="N10" s="988">
        <v>980</v>
      </c>
      <c r="O10" s="988">
        <v>2250</v>
      </c>
      <c r="P10" s="988">
        <v>702</v>
      </c>
      <c r="Q10" s="989">
        <v>107.52600900169705</v>
      </c>
      <c r="R10" s="989">
        <v>103.02614423934673</v>
      </c>
    </row>
    <row r="11" spans="1:30" s="293" customFormat="1" ht="15.75" customHeight="1">
      <c r="A11" s="990"/>
      <c r="B11" s="985" t="s">
        <v>694</v>
      </c>
      <c r="C11" s="980" t="s">
        <v>695</v>
      </c>
      <c r="D11" s="986">
        <v>45395</v>
      </c>
      <c r="E11" s="986">
        <v>45933</v>
      </c>
      <c r="F11" s="1191">
        <f t="shared" si="2"/>
        <v>43980</v>
      </c>
      <c r="G11" s="987">
        <v>3488</v>
      </c>
      <c r="H11" s="988">
        <v>6970</v>
      </c>
      <c r="I11" s="988">
        <v>5544</v>
      </c>
      <c r="J11" s="988">
        <v>634</v>
      </c>
      <c r="K11" s="988">
        <v>4279</v>
      </c>
      <c r="L11" s="988">
        <v>4165</v>
      </c>
      <c r="M11" s="988">
        <v>5394</v>
      </c>
      <c r="N11" s="988">
        <v>3290</v>
      </c>
      <c r="O11" s="988">
        <v>5690</v>
      </c>
      <c r="P11" s="988">
        <v>4526</v>
      </c>
      <c r="Q11" s="989">
        <v>98.04383742702942</v>
      </c>
      <c r="R11" s="989">
        <v>98.8968027501292</v>
      </c>
      <c r="T11" s="227"/>
      <c r="U11" s="227"/>
      <c r="V11" s="227"/>
      <c r="W11" s="227"/>
      <c r="X11" s="227"/>
      <c r="Y11" s="227"/>
      <c r="Z11" s="227"/>
      <c r="AA11" s="227"/>
      <c r="AB11" s="227"/>
      <c r="AD11" s="293">
        <f>926-269</f>
        <v>657</v>
      </c>
    </row>
    <row r="12" spans="1:28" s="293" customFormat="1" ht="15.75" customHeight="1">
      <c r="A12" s="991"/>
      <c r="B12" s="985" t="s">
        <v>696</v>
      </c>
      <c r="C12" s="980" t="s">
        <v>695</v>
      </c>
      <c r="D12" s="986">
        <v>14870</v>
      </c>
      <c r="E12" s="986">
        <v>15627</v>
      </c>
      <c r="F12" s="1191">
        <f t="shared" si="2"/>
        <v>15056</v>
      </c>
      <c r="G12" s="987">
        <v>1190</v>
      </c>
      <c r="H12" s="988">
        <v>2412</v>
      </c>
      <c r="I12" s="988">
        <v>1855</v>
      </c>
      <c r="J12" s="988">
        <v>250</v>
      </c>
      <c r="K12" s="988">
        <v>1442</v>
      </c>
      <c r="L12" s="988">
        <v>1485</v>
      </c>
      <c r="M12" s="988">
        <v>1667</v>
      </c>
      <c r="N12" s="988">
        <v>1117</v>
      </c>
      <c r="O12" s="988">
        <v>2021</v>
      </c>
      <c r="P12" s="988">
        <v>1617</v>
      </c>
      <c r="Q12" s="989">
        <v>103.20107599193007</v>
      </c>
      <c r="R12" s="989">
        <v>99.06164472826795</v>
      </c>
      <c r="T12" s="227"/>
      <c r="U12" s="227"/>
      <c r="V12" s="227"/>
      <c r="W12" s="227"/>
      <c r="X12" s="227"/>
      <c r="Y12" s="227"/>
      <c r="Z12" s="227"/>
      <c r="AA12" s="227"/>
      <c r="AB12" s="227"/>
    </row>
    <row r="13" spans="1:28" s="293" customFormat="1" ht="15.75" customHeight="1">
      <c r="A13" s="992" t="s">
        <v>697</v>
      </c>
      <c r="B13" s="971" t="s">
        <v>698</v>
      </c>
      <c r="C13" s="980" t="s">
        <v>699</v>
      </c>
      <c r="D13" s="993">
        <f>SUM(D14:D15)</f>
        <v>2331</v>
      </c>
      <c r="E13" s="993">
        <f aca="true" t="shared" si="3" ref="E13:P13">SUM(E14:E15)</f>
        <v>2395</v>
      </c>
      <c r="F13" s="993">
        <f t="shared" si="3"/>
        <v>2465</v>
      </c>
      <c r="G13" s="993">
        <f t="shared" si="3"/>
        <v>165</v>
      </c>
      <c r="H13" s="993">
        <f t="shared" si="3"/>
        <v>400</v>
      </c>
      <c r="I13" s="993">
        <f t="shared" si="3"/>
        <v>329</v>
      </c>
      <c r="J13" s="993">
        <f t="shared" si="3"/>
        <v>43</v>
      </c>
      <c r="K13" s="993">
        <f t="shared" si="3"/>
        <v>284</v>
      </c>
      <c r="L13" s="993">
        <f t="shared" si="3"/>
        <v>224</v>
      </c>
      <c r="M13" s="993">
        <f t="shared" si="3"/>
        <v>301</v>
      </c>
      <c r="N13" s="993">
        <f t="shared" si="3"/>
        <v>183</v>
      </c>
      <c r="O13" s="993">
        <f t="shared" si="3"/>
        <v>313</v>
      </c>
      <c r="P13" s="993">
        <f t="shared" si="3"/>
        <v>223</v>
      </c>
      <c r="Q13" s="979">
        <v>103.30330330330331</v>
      </c>
      <c r="R13" s="979">
        <v>102.49169435215948</v>
      </c>
      <c r="T13" s="294"/>
      <c r="U13" s="227"/>
      <c r="V13" s="227"/>
      <c r="W13" s="227"/>
      <c r="X13" s="227"/>
      <c r="Y13" s="227"/>
      <c r="Z13" s="227"/>
      <c r="AA13" s="227"/>
      <c r="AB13" s="227"/>
    </row>
    <row r="14" spans="1:28" s="293" customFormat="1" ht="15.75" customHeight="1">
      <c r="A14" s="984"/>
      <c r="B14" s="994" t="s">
        <v>700</v>
      </c>
      <c r="C14" s="980" t="s">
        <v>701</v>
      </c>
      <c r="D14" s="995">
        <v>570</v>
      </c>
      <c r="E14" s="986">
        <v>619</v>
      </c>
      <c r="F14" s="1191">
        <f t="shared" si="2"/>
        <v>684</v>
      </c>
      <c r="G14" s="987">
        <v>48</v>
      </c>
      <c r="H14" s="988">
        <v>121</v>
      </c>
      <c r="I14" s="988">
        <v>110</v>
      </c>
      <c r="J14" s="988">
        <v>15</v>
      </c>
      <c r="K14" s="988">
        <v>102</v>
      </c>
      <c r="L14" s="988">
        <v>41</v>
      </c>
      <c r="M14" s="988">
        <v>83</v>
      </c>
      <c r="N14" s="988">
        <v>38</v>
      </c>
      <c r="O14" s="988">
        <v>89</v>
      </c>
      <c r="P14" s="988">
        <v>37</v>
      </c>
      <c r="Q14" s="989">
        <v>114.21052631578948</v>
      </c>
      <c r="R14" s="989">
        <v>106.4516129032258</v>
      </c>
      <c r="T14" s="227"/>
      <c r="U14" s="227"/>
      <c r="V14" s="227"/>
      <c r="W14" s="227"/>
      <c r="X14" s="227"/>
      <c r="Y14" s="227"/>
      <c r="Z14" s="227"/>
      <c r="AA14" s="227"/>
      <c r="AB14" s="227"/>
    </row>
    <row r="15" spans="1:28" s="293" customFormat="1" ht="15.75" customHeight="1">
      <c r="A15" s="990"/>
      <c r="B15" s="994" t="s">
        <v>702</v>
      </c>
      <c r="C15" s="980" t="s">
        <v>703</v>
      </c>
      <c r="D15" s="986">
        <v>1761</v>
      </c>
      <c r="E15" s="986">
        <v>1776</v>
      </c>
      <c r="F15" s="1191">
        <f t="shared" si="2"/>
        <v>1781</v>
      </c>
      <c r="G15" s="987">
        <v>117</v>
      </c>
      <c r="H15" s="988">
        <v>279</v>
      </c>
      <c r="I15" s="988">
        <v>219</v>
      </c>
      <c r="J15" s="988">
        <v>28</v>
      </c>
      <c r="K15" s="988">
        <v>182</v>
      </c>
      <c r="L15" s="988">
        <v>183</v>
      </c>
      <c r="M15" s="988">
        <v>218</v>
      </c>
      <c r="N15" s="988">
        <v>145</v>
      </c>
      <c r="O15" s="988">
        <v>224</v>
      </c>
      <c r="P15" s="988">
        <v>186</v>
      </c>
      <c r="Q15" s="989">
        <v>99.77285633162975</v>
      </c>
      <c r="R15" s="989">
        <v>101.0244735344337</v>
      </c>
      <c r="T15" s="227"/>
      <c r="U15" s="227"/>
      <c r="V15" s="227"/>
      <c r="W15" s="227"/>
      <c r="X15" s="227"/>
      <c r="Y15" s="227"/>
      <c r="Z15" s="227"/>
      <c r="AA15" s="227"/>
      <c r="AB15" s="227"/>
    </row>
    <row r="16" spans="1:18" s="293" customFormat="1" ht="15.75" customHeight="1">
      <c r="A16" s="991"/>
      <c r="B16" s="994" t="s">
        <v>704</v>
      </c>
      <c r="C16" s="980" t="s">
        <v>699</v>
      </c>
      <c r="D16" s="995">
        <v>1047</v>
      </c>
      <c r="E16" s="986">
        <v>1058</v>
      </c>
      <c r="F16" s="1191">
        <f t="shared" si="2"/>
        <v>1063.4910844908195</v>
      </c>
      <c r="G16" s="987">
        <v>39.32715133531158</v>
      </c>
      <c r="H16" s="987">
        <v>141.82318598832362</v>
      </c>
      <c r="I16" s="987">
        <v>164</v>
      </c>
      <c r="J16" s="987">
        <v>15.182186234817815</v>
      </c>
      <c r="K16" s="987">
        <v>140</v>
      </c>
      <c r="L16" s="987">
        <v>120</v>
      </c>
      <c r="M16" s="987">
        <v>139</v>
      </c>
      <c r="N16" s="987">
        <v>72.28213977566868</v>
      </c>
      <c r="O16" s="987">
        <v>124.87642115669796</v>
      </c>
      <c r="P16" s="987">
        <v>107</v>
      </c>
      <c r="Q16" s="989">
        <v>100.2865329512894</v>
      </c>
      <c r="R16" s="989">
        <v>100.23724614198282</v>
      </c>
    </row>
    <row r="17" spans="1:18" s="293" customFormat="1" ht="15.75" customHeight="1">
      <c r="A17" s="996" t="s">
        <v>705</v>
      </c>
      <c r="B17" s="997" t="s">
        <v>706</v>
      </c>
      <c r="C17" s="998"/>
      <c r="D17" s="986"/>
      <c r="E17" s="999"/>
      <c r="F17" s="999"/>
      <c r="G17" s="1000"/>
      <c r="H17" s="1000"/>
      <c r="I17" s="1000"/>
      <c r="J17" s="1000"/>
      <c r="K17" s="1000"/>
      <c r="L17" s="1000"/>
      <c r="M17" s="1000"/>
      <c r="N17" s="1000"/>
      <c r="O17" s="1000"/>
      <c r="P17" s="1000"/>
      <c r="Q17" s="977"/>
      <c r="R17" s="977"/>
    </row>
    <row r="18" spans="1:18" s="293" customFormat="1" ht="15.75" customHeight="1">
      <c r="A18" s="984"/>
      <c r="B18" s="985" t="s">
        <v>707</v>
      </c>
      <c r="C18" s="980" t="s">
        <v>19</v>
      </c>
      <c r="D18" s="1001">
        <f>D9/((D10/D22*100)+(D11/D23*100))*100</f>
        <v>70.65383197962308</v>
      </c>
      <c r="E18" s="1001">
        <v>72.7</v>
      </c>
      <c r="F18" s="960">
        <f>F9/((F10/F22*100)+(F11/F23*100))*100</f>
        <v>73.97592272092733</v>
      </c>
      <c r="G18" s="1001">
        <v>80.2</v>
      </c>
      <c r="H18" s="1001">
        <v>78.1289325979005</v>
      </c>
      <c r="I18" s="1001">
        <v>76.56952865245454</v>
      </c>
      <c r="J18" s="1001">
        <v>79.81857457235822</v>
      </c>
      <c r="K18" s="1001">
        <v>78.66924234186551</v>
      </c>
      <c r="L18" s="1001">
        <v>63.91209754341818</v>
      </c>
      <c r="M18" s="1001">
        <v>71.8184955291913</v>
      </c>
      <c r="N18" s="1001">
        <v>75.0928553937986</v>
      </c>
      <c r="O18" s="1001">
        <v>77.3</v>
      </c>
      <c r="P18" s="1001">
        <v>61.9</v>
      </c>
      <c r="Q18" s="989">
        <v>103.14161739390157</v>
      </c>
      <c r="R18" s="989">
        <v>99.9783554911544</v>
      </c>
    </row>
    <row r="19" spans="1:18" s="293" customFormat="1" ht="15.75" customHeight="1">
      <c r="A19" s="990"/>
      <c r="B19" s="985" t="s">
        <v>708</v>
      </c>
      <c r="C19" s="980" t="s">
        <v>19</v>
      </c>
      <c r="D19" s="1002">
        <v>48.2</v>
      </c>
      <c r="E19" s="1003">
        <v>48.1</v>
      </c>
      <c r="F19" s="1192">
        <f>((G9*G19/100)+(H9*H19/100)+(I9*I19/100)+(J9/100*J19)+(K9/100*K19)+(L9/100*L19)+(M9/100*M19)+(N9/100*N19)+(O9/100*O19)+(P9/100*P19))/F9*100</f>
        <v>48.48328928653741</v>
      </c>
      <c r="G19" s="1001">
        <v>47.4</v>
      </c>
      <c r="H19" s="1001">
        <v>48.3</v>
      </c>
      <c r="I19" s="1001">
        <v>47.78947368421053</v>
      </c>
      <c r="J19" s="1001">
        <v>47</v>
      </c>
      <c r="K19" s="1001">
        <v>52</v>
      </c>
      <c r="L19" s="1001">
        <v>49.8</v>
      </c>
      <c r="M19" s="1001">
        <v>47.5</v>
      </c>
      <c r="N19" s="1001">
        <v>49</v>
      </c>
      <c r="O19" s="1001">
        <v>48.7</v>
      </c>
      <c r="P19" s="1001">
        <v>46.44312708410523</v>
      </c>
      <c r="Q19" s="989">
        <v>99.79253112033194</v>
      </c>
      <c r="R19" s="989">
        <v>100.56810826784111</v>
      </c>
    </row>
    <row r="20" spans="1:18" s="293" customFormat="1" ht="15.75" customHeight="1">
      <c r="A20" s="990"/>
      <c r="B20" s="985" t="s">
        <v>709</v>
      </c>
      <c r="C20" s="980" t="s">
        <v>19</v>
      </c>
      <c r="D20" s="1003">
        <v>7.9</v>
      </c>
      <c r="E20" s="1003">
        <v>7.045</v>
      </c>
      <c r="F20" s="1192">
        <f>((G9*G20/100)+(H9*H20/100)+(I9*I20/100)+(J9/100*J20)+(K9/100*K20)+(L9/100*L20)+(M9/100*M20)+(N9/100*N20)+(O9/100*O20)+(P9/100*P20))/F9*100</f>
        <v>6.429172009368962</v>
      </c>
      <c r="G20" s="1001">
        <v>2.8</v>
      </c>
      <c r="H20" s="1001">
        <v>4.2</v>
      </c>
      <c r="I20" s="1001">
        <v>7.2</v>
      </c>
      <c r="J20" s="1001">
        <v>2.7</v>
      </c>
      <c r="K20" s="1001">
        <v>7</v>
      </c>
      <c r="L20" s="1001">
        <v>7.7</v>
      </c>
      <c r="M20" s="1001">
        <v>7.5</v>
      </c>
      <c r="N20" s="1001">
        <v>8.1</v>
      </c>
      <c r="O20" s="1001">
        <v>6.7</v>
      </c>
      <c r="P20" s="1001">
        <v>8</v>
      </c>
      <c r="Q20" s="989">
        <v>89.17721518987342</v>
      </c>
      <c r="R20" s="989">
        <v>87.8637331440738</v>
      </c>
    </row>
    <row r="21" spans="1:18" s="293" customFormat="1" ht="15.75" customHeight="1">
      <c r="A21" s="990"/>
      <c r="B21" s="985" t="s">
        <v>710</v>
      </c>
      <c r="C21" s="980" t="s">
        <v>19</v>
      </c>
      <c r="D21" s="1003">
        <v>8.6</v>
      </c>
      <c r="E21" s="1003">
        <v>7.705</v>
      </c>
      <c r="F21" s="1192">
        <f>((G9*G21/100)+(H9*H21/100)+(I9*I21/100)+(J9/100*J21)+(K9/100*K21)+(L9/100*L21)+(M9/100*M21)+(N9/100*N21)+(O9/100*O21)+(P9/100*P21))/F9*100</f>
        <v>6.982289583012771</v>
      </c>
      <c r="G21" s="1001">
        <v>3.8</v>
      </c>
      <c r="H21" s="1001">
        <v>4.7</v>
      </c>
      <c r="I21" s="1001">
        <v>7.6</v>
      </c>
      <c r="J21" s="1001">
        <v>4.1</v>
      </c>
      <c r="K21" s="1001">
        <v>7.7</v>
      </c>
      <c r="L21" s="1001">
        <v>8</v>
      </c>
      <c r="M21" s="1001">
        <v>8.1</v>
      </c>
      <c r="N21" s="1001">
        <v>8.4</v>
      </c>
      <c r="O21" s="1001">
        <v>7.5</v>
      </c>
      <c r="P21" s="1001">
        <v>8.2</v>
      </c>
      <c r="Q21" s="989">
        <v>89.59302325581395</v>
      </c>
      <c r="R21" s="989">
        <v>88.38416612589228</v>
      </c>
    </row>
    <row r="22" spans="1:18" s="293" customFormat="1" ht="30.75" customHeight="1">
      <c r="A22" s="990"/>
      <c r="B22" s="985" t="s">
        <v>711</v>
      </c>
      <c r="C22" s="980" t="s">
        <v>19</v>
      </c>
      <c r="D22" s="1002">
        <v>36.2</v>
      </c>
      <c r="E22" s="1003">
        <v>39.8</v>
      </c>
      <c r="F22" s="1192">
        <f>F10*100/((G10*100/G22)+(H10*100/H22)+(I10/I22*100)+(J10/J22*100)+(K10/K22*100)+(L10/L22*100)+(M10/M22*100)+(N10*100/N22)+(O10/O22*100)+(P10*100/P22))</f>
        <v>41.79421693221901</v>
      </c>
      <c r="G22" s="1003">
        <v>50</v>
      </c>
      <c r="H22" s="1003">
        <v>50</v>
      </c>
      <c r="I22" s="1003">
        <v>49.57805907173</v>
      </c>
      <c r="J22" s="1003">
        <v>53.8</v>
      </c>
      <c r="K22" s="1003">
        <v>47</v>
      </c>
      <c r="L22" s="1003">
        <v>25</v>
      </c>
      <c r="M22" s="1003">
        <v>41.5</v>
      </c>
      <c r="N22" s="1003">
        <v>40.9527789385708</v>
      </c>
      <c r="O22" s="1003">
        <v>50</v>
      </c>
      <c r="P22" s="1003">
        <v>17.9</v>
      </c>
      <c r="Q22" s="989">
        <v>111.04972375690608</v>
      </c>
      <c r="R22" s="989">
        <v>101.97997229587344</v>
      </c>
    </row>
    <row r="23" spans="1:18" s="293" customFormat="1" ht="15.75" customHeight="1">
      <c r="A23" s="990"/>
      <c r="B23" s="985" t="s">
        <v>712</v>
      </c>
      <c r="C23" s="980" t="s">
        <v>19</v>
      </c>
      <c r="D23" s="1002">
        <v>98.7</v>
      </c>
      <c r="E23" s="1003">
        <v>99</v>
      </c>
      <c r="F23" s="1192">
        <f>F11*100/((G11*100/G23)+(H11*100/H23)+(I11/I23*100)+(J11/J23*100)+(K11/K23*100)+(L11/L23*100)+(M11/M23*100)+(N11*100/N23)+(O11/O23*100)+(P11*100/P23))</f>
        <v>99.17130971912138</v>
      </c>
      <c r="G23" s="1003">
        <v>99.9</v>
      </c>
      <c r="H23" s="1003">
        <v>99.9</v>
      </c>
      <c r="I23" s="1003">
        <v>99.8906306963179</v>
      </c>
      <c r="J23" s="1003">
        <v>99</v>
      </c>
      <c r="K23" s="1003">
        <v>99.67381174277726</v>
      </c>
      <c r="L23" s="1003">
        <v>96.03137978772497</v>
      </c>
      <c r="M23" s="1003">
        <v>97.5</v>
      </c>
      <c r="N23" s="1003">
        <v>99.7</v>
      </c>
      <c r="O23" s="1003">
        <v>99.9</v>
      </c>
      <c r="P23" s="1003">
        <f>1*99.9</f>
        <v>99.9</v>
      </c>
      <c r="Q23" s="989">
        <v>100.6079027355623</v>
      </c>
      <c r="R23" s="989">
        <v>99.838958883721</v>
      </c>
    </row>
    <row r="24" spans="1:18" s="293" customFormat="1" ht="15.75" customHeight="1">
      <c r="A24" s="991"/>
      <c r="B24" s="985" t="s">
        <v>713</v>
      </c>
      <c r="C24" s="980" t="s">
        <v>19</v>
      </c>
      <c r="D24" s="1002">
        <v>99.6</v>
      </c>
      <c r="E24" s="1003">
        <v>99.9</v>
      </c>
      <c r="F24" s="1192">
        <f>F12*100/((G12*100/G24)+(H12*100/H24)+(I12/I24*100)+(J12/J24*100)+(K12/K24*100)+(L12/L24*100)+(M12/M24*100)+(N12*100/N24)+(O12/O24*100)+(P12*100/P24))</f>
        <v>99.85007744423065</v>
      </c>
      <c r="G24" s="1003">
        <v>99.9</v>
      </c>
      <c r="H24" s="1003">
        <v>99.9</v>
      </c>
      <c r="I24" s="1003">
        <v>99.8</v>
      </c>
      <c r="J24" s="1003">
        <v>99.9</v>
      </c>
      <c r="K24" s="1003">
        <v>99.9</v>
      </c>
      <c r="L24" s="1003">
        <v>99.8</v>
      </c>
      <c r="M24" s="1003">
        <v>99.809</v>
      </c>
      <c r="N24" s="1003">
        <v>99.807</v>
      </c>
      <c r="O24" s="1003">
        <v>99.9</v>
      </c>
      <c r="P24" s="1003">
        <f>1*99.8</f>
        <v>99.8</v>
      </c>
      <c r="Q24" s="989">
        <v>100.30120481927712</v>
      </c>
      <c r="R24" s="989">
        <v>99.973978774938</v>
      </c>
    </row>
    <row r="25" spans="1:20" s="293" customFormat="1" ht="15.75" customHeight="1">
      <c r="A25" s="1004">
        <v>2</v>
      </c>
      <c r="B25" s="997" t="s">
        <v>714</v>
      </c>
      <c r="C25" s="998"/>
      <c r="D25" s="1005"/>
      <c r="E25" s="975"/>
      <c r="F25" s="1000"/>
      <c r="G25" s="1006"/>
      <c r="H25" s="1006"/>
      <c r="I25" s="1006"/>
      <c r="J25" s="1006"/>
      <c r="K25" s="1006"/>
      <c r="L25" s="1006"/>
      <c r="M25" s="1006"/>
      <c r="N25" s="1006"/>
      <c r="O25" s="1006"/>
      <c r="P25" s="1006"/>
      <c r="Q25" s="977"/>
      <c r="R25" s="977"/>
      <c r="T25" s="294"/>
    </row>
    <row r="26" spans="1:18" s="293" customFormat="1" ht="15.75" customHeight="1">
      <c r="A26" s="968" t="s">
        <v>715</v>
      </c>
      <c r="B26" s="971" t="s">
        <v>716</v>
      </c>
      <c r="C26" s="980" t="s">
        <v>717</v>
      </c>
      <c r="D26" s="961">
        <f>D35+D44+D53</f>
        <v>131692</v>
      </c>
      <c r="E26" s="961">
        <f>E35+E44+E53</f>
        <v>135127</v>
      </c>
      <c r="F26" s="961">
        <f>SUM(G26:P26)</f>
        <v>138228</v>
      </c>
      <c r="G26" s="961">
        <f>G35+G44+G53</f>
        <v>13940</v>
      </c>
      <c r="H26" s="961">
        <f aca="true" t="shared" si="4" ref="H26:P26">H35+H44+H53</f>
        <v>23130</v>
      </c>
      <c r="I26" s="961">
        <f t="shared" si="4"/>
        <v>15765</v>
      </c>
      <c r="J26" s="961">
        <f t="shared" si="4"/>
        <v>2370</v>
      </c>
      <c r="K26" s="961">
        <f t="shared" si="4"/>
        <v>12240</v>
      </c>
      <c r="L26" s="961">
        <f t="shared" si="4"/>
        <v>12500</v>
      </c>
      <c r="M26" s="961">
        <f t="shared" si="4"/>
        <v>14400</v>
      </c>
      <c r="N26" s="961">
        <f t="shared" si="4"/>
        <v>10930</v>
      </c>
      <c r="O26" s="961">
        <f t="shared" si="4"/>
        <v>18780</v>
      </c>
      <c r="P26" s="961">
        <f t="shared" si="4"/>
        <v>14173</v>
      </c>
      <c r="Q26" s="977">
        <v>101.58551772317226</v>
      </c>
      <c r="R26" s="977">
        <v>102.90775900732545</v>
      </c>
    </row>
    <row r="27" spans="1:18" s="293" customFormat="1" ht="15.75" customHeight="1">
      <c r="A27" s="984"/>
      <c r="B27" s="994" t="s">
        <v>718</v>
      </c>
      <c r="C27" s="980" t="s">
        <v>717</v>
      </c>
      <c r="D27" s="1007">
        <v>41153</v>
      </c>
      <c r="E27" s="1008">
        <f aca="true" t="shared" si="5" ref="E27:P28">E36+E45+E55</f>
        <v>49243</v>
      </c>
      <c r="F27" s="1009">
        <f t="shared" si="5"/>
        <v>50023.5</v>
      </c>
      <c r="G27" s="1009">
        <f t="shared" si="5"/>
        <v>500</v>
      </c>
      <c r="H27" s="1009">
        <f t="shared" si="5"/>
        <v>4298</v>
      </c>
      <c r="I27" s="1009">
        <f t="shared" si="5"/>
        <v>8117</v>
      </c>
      <c r="J27" s="1009">
        <f t="shared" si="5"/>
        <v>327</v>
      </c>
      <c r="K27" s="1009">
        <f t="shared" si="5"/>
        <v>5517</v>
      </c>
      <c r="L27" s="1009">
        <f t="shared" si="5"/>
        <v>7374</v>
      </c>
      <c r="M27" s="1009">
        <f t="shared" si="5"/>
        <v>8530</v>
      </c>
      <c r="N27" s="1009">
        <f t="shared" si="5"/>
        <v>2403</v>
      </c>
      <c r="O27" s="1009">
        <f t="shared" si="5"/>
        <v>5519</v>
      </c>
      <c r="P27" s="1009">
        <f t="shared" si="5"/>
        <v>7438.5</v>
      </c>
      <c r="Q27" s="1010">
        <v>114.89320341165894</v>
      </c>
      <c r="R27" s="1010">
        <v>104.92682204644474</v>
      </c>
    </row>
    <row r="28" spans="1:18" s="293" customFormat="1" ht="15.75" customHeight="1">
      <c r="A28" s="968" t="s">
        <v>719</v>
      </c>
      <c r="B28" s="971" t="s">
        <v>720</v>
      </c>
      <c r="C28" s="980" t="s">
        <v>699</v>
      </c>
      <c r="D28" s="1011">
        <v>4782</v>
      </c>
      <c r="E28" s="978">
        <f t="shared" si="5"/>
        <v>4786</v>
      </c>
      <c r="F28" s="961">
        <f t="shared" si="5"/>
        <v>4872</v>
      </c>
      <c r="G28" s="961">
        <f t="shared" si="5"/>
        <v>401</v>
      </c>
      <c r="H28" s="961">
        <f t="shared" si="5"/>
        <v>833</v>
      </c>
      <c r="I28" s="961">
        <f t="shared" si="5"/>
        <v>589</v>
      </c>
      <c r="J28" s="961">
        <f t="shared" si="5"/>
        <v>90</v>
      </c>
      <c r="K28" s="961">
        <f t="shared" si="5"/>
        <v>461</v>
      </c>
      <c r="L28" s="961">
        <f t="shared" si="5"/>
        <v>477</v>
      </c>
      <c r="M28" s="961">
        <f t="shared" si="5"/>
        <v>525</v>
      </c>
      <c r="N28" s="961">
        <f t="shared" si="5"/>
        <v>386</v>
      </c>
      <c r="O28" s="961">
        <f t="shared" si="5"/>
        <v>666</v>
      </c>
      <c r="P28" s="961">
        <f t="shared" si="5"/>
        <v>444</v>
      </c>
      <c r="Q28" s="977">
        <v>101.48473442074446</v>
      </c>
      <c r="R28" s="977">
        <v>100.32969297341849</v>
      </c>
    </row>
    <row r="29" spans="1:18" s="293" customFormat="1" ht="15.75" customHeight="1">
      <c r="A29" s="1012" t="s">
        <v>721</v>
      </c>
      <c r="B29" s="1013" t="s">
        <v>706</v>
      </c>
      <c r="C29" s="1014"/>
      <c r="D29" s="986"/>
      <c r="E29" s="1015"/>
      <c r="F29" s="1010"/>
      <c r="G29" s="1010"/>
      <c r="H29" s="1010"/>
      <c r="I29" s="1010"/>
      <c r="J29" s="1010"/>
      <c r="K29" s="1010"/>
      <c r="L29" s="1010"/>
      <c r="M29" s="1010"/>
      <c r="N29" s="1010"/>
      <c r="O29" s="1010"/>
      <c r="P29" s="1010"/>
      <c r="Q29" s="977"/>
      <c r="R29" s="977"/>
    </row>
    <row r="30" spans="1:18" s="293" customFormat="1" ht="15.75" customHeight="1">
      <c r="A30" s="984"/>
      <c r="B30" s="994" t="s">
        <v>722</v>
      </c>
      <c r="C30" s="1016" t="s">
        <v>19</v>
      </c>
      <c r="D30" s="1017">
        <v>46.3929213619658</v>
      </c>
      <c r="E30" s="1018">
        <v>46.6</v>
      </c>
      <c r="F30" s="1010">
        <f>((F40*F35/100)+(F44*F49/100)+(F53*F59/100))/F26*100</f>
        <v>46.712522029050966</v>
      </c>
      <c r="G30" s="1018">
        <v>48.04079415374922</v>
      </c>
      <c r="H30" s="1018">
        <v>47.40576891989252</v>
      </c>
      <c r="I30" s="1018">
        <v>45.72280052077124</v>
      </c>
      <c r="J30" s="1018">
        <v>48.43208333333333</v>
      </c>
      <c r="K30" s="1018">
        <v>44.00433289195676</v>
      </c>
      <c r="L30" s="1018">
        <v>46.07695864089045</v>
      </c>
      <c r="M30" s="1018">
        <v>47.18497587870434</v>
      </c>
      <c r="N30" s="1018">
        <v>47.05765027322404</v>
      </c>
      <c r="O30" s="1018">
        <v>47.51870726331783</v>
      </c>
      <c r="P30" s="1018">
        <v>47.0034362801616</v>
      </c>
      <c r="Q30" s="1010">
        <v>100.44635826318964</v>
      </c>
      <c r="R30" s="1010">
        <v>100.2893954178131</v>
      </c>
    </row>
    <row r="31" spans="1:18" s="293" customFormat="1" ht="15.75" customHeight="1">
      <c r="A31" s="990"/>
      <c r="B31" s="994" t="s">
        <v>723</v>
      </c>
      <c r="C31" s="1016" t="s">
        <v>19</v>
      </c>
      <c r="D31" s="1019">
        <v>86.1</v>
      </c>
      <c r="E31" s="1010">
        <f>(E39+E48+E58)/3</f>
        <v>86.16666666666667</v>
      </c>
      <c r="F31" s="1010">
        <f>(F39+F48+F58)/3</f>
        <v>86.43270791014244</v>
      </c>
      <c r="G31" s="1010">
        <v>98.26666666666665</v>
      </c>
      <c r="H31" s="1010">
        <v>88.63333333333333</v>
      </c>
      <c r="I31" s="1010">
        <v>82.73333333333333</v>
      </c>
      <c r="J31" s="1010">
        <v>91.03333333333335</v>
      </c>
      <c r="K31" s="1010">
        <v>82.8</v>
      </c>
      <c r="L31" s="1010">
        <v>83.47281131049483</v>
      </c>
      <c r="M31" s="1010">
        <v>83.56666666666666</v>
      </c>
      <c r="N31" s="1010">
        <v>84.43333333333334</v>
      </c>
      <c r="O31" s="1010">
        <v>85.46666666666665</v>
      </c>
      <c r="P31" s="1010">
        <v>79.97872249882974</v>
      </c>
      <c r="Q31" s="1010">
        <v>100.07742934572201</v>
      </c>
      <c r="R31" s="1010">
        <v>100.45859193144967</v>
      </c>
    </row>
    <row r="32" spans="1:18" s="293" customFormat="1" ht="15.75" customHeight="1">
      <c r="A32" s="990"/>
      <c r="B32" s="994" t="s">
        <v>724</v>
      </c>
      <c r="C32" s="1016" t="s">
        <v>19</v>
      </c>
      <c r="D32" s="1020">
        <v>0.5624037906630623</v>
      </c>
      <c r="E32" s="1021">
        <v>0.5</v>
      </c>
      <c r="F32" s="1022">
        <f>((F41*F35/100)+(F50*F44/100)+(F60*F53/100))/F26*100</f>
        <v>0.45977229627074556</v>
      </c>
      <c r="G32" s="1022">
        <v>0.05772005772005772</v>
      </c>
      <c r="H32" s="1022">
        <v>0.3580061180921308</v>
      </c>
      <c r="I32" s="1022">
        <v>0.6046775203506575</v>
      </c>
      <c r="J32" s="1022">
        <v>0.19890285996055226</v>
      </c>
      <c r="K32" s="1022">
        <v>0.46982454730526096</v>
      </c>
      <c r="L32" s="1022">
        <v>0.4062636643356643</v>
      </c>
      <c r="M32" s="1022">
        <v>0.4943762922122673</v>
      </c>
      <c r="N32" s="1022">
        <v>0.5070487567247003</v>
      </c>
      <c r="O32" s="1022">
        <v>0.6351586874663797</v>
      </c>
      <c r="P32" s="1022">
        <v>0.39712403893596593</v>
      </c>
      <c r="Q32" s="1010">
        <v>88.90409494048936</v>
      </c>
      <c r="R32" s="1010">
        <v>91.84798480011493</v>
      </c>
    </row>
    <row r="33" spans="1:18" s="293" customFormat="1" ht="15.75" customHeight="1">
      <c r="A33" s="991"/>
      <c r="B33" s="994" t="s">
        <v>725</v>
      </c>
      <c r="C33" s="1016" t="s">
        <v>19</v>
      </c>
      <c r="D33" s="1020">
        <v>0.5390520598721</v>
      </c>
      <c r="E33" s="1021">
        <v>0.52</v>
      </c>
      <c r="F33" s="1022">
        <f>((F42*F35/100)+(F51*F44/100)+(F61*F53/100))/F26*100</f>
        <v>0.4649790201695749</v>
      </c>
      <c r="G33" s="1022">
        <v>0.5676767676767676</v>
      </c>
      <c r="H33" s="1022">
        <v>0.733772239461054</v>
      </c>
      <c r="I33" s="1022">
        <v>0.7510958046336881</v>
      </c>
      <c r="J33" s="1022">
        <v>0.1375</v>
      </c>
      <c r="K33" s="1022">
        <v>0.24560457516339868</v>
      </c>
      <c r="L33" s="1022">
        <v>0.83672</v>
      </c>
      <c r="M33" s="1022">
        <v>0.4582012405237767</v>
      </c>
      <c r="N33" s="1022">
        <v>0.5440619307832452</v>
      </c>
      <c r="O33" s="1022">
        <v>0.30059171597633133</v>
      </c>
      <c r="P33" s="1022">
        <v>0.4</v>
      </c>
      <c r="Q33" s="1010">
        <v>96.46563638461552</v>
      </c>
      <c r="R33" s="1010">
        <v>87.90390621944337</v>
      </c>
    </row>
    <row r="34" spans="1:18" s="293" customFormat="1" ht="15.75" customHeight="1">
      <c r="A34" s="1023" t="s">
        <v>726</v>
      </c>
      <c r="B34" s="997" t="s">
        <v>727</v>
      </c>
      <c r="C34" s="998"/>
      <c r="D34" s="1010"/>
      <c r="E34" s="1010"/>
      <c r="F34" s="1193"/>
      <c r="G34" s="1009"/>
      <c r="H34" s="1009"/>
      <c r="I34" s="1009"/>
      <c r="J34" s="1009"/>
      <c r="K34" s="1009"/>
      <c r="L34" s="1009"/>
      <c r="M34" s="1009"/>
      <c r="N34" s="1009"/>
      <c r="O34" s="1009"/>
      <c r="P34" s="1009"/>
      <c r="Q34" s="977"/>
      <c r="R34" s="977"/>
    </row>
    <row r="35" spans="1:18" s="293" customFormat="1" ht="15.75" customHeight="1">
      <c r="A35" s="968"/>
      <c r="B35" s="971" t="s">
        <v>716</v>
      </c>
      <c r="C35" s="980" t="s">
        <v>717</v>
      </c>
      <c r="D35" s="962">
        <v>69029</v>
      </c>
      <c r="E35" s="964">
        <v>70959</v>
      </c>
      <c r="F35" s="1193">
        <f>SUM(G35:P35)</f>
        <v>72406</v>
      </c>
      <c r="G35" s="1024">
        <f>5590+510</f>
        <v>6100</v>
      </c>
      <c r="H35" s="1024">
        <v>11700</v>
      </c>
      <c r="I35" s="1024">
        <v>8605</v>
      </c>
      <c r="J35" s="1024">
        <v>1130</v>
      </c>
      <c r="K35" s="1024">
        <v>6690</v>
      </c>
      <c r="L35" s="1024">
        <v>6830</v>
      </c>
      <c r="M35" s="1024">
        <v>7840</v>
      </c>
      <c r="N35" s="1024">
        <v>5600</v>
      </c>
      <c r="O35" s="1024">
        <v>10050</v>
      </c>
      <c r="P35" s="1024">
        <v>7861</v>
      </c>
      <c r="Q35" s="977">
        <v>100.53745527242172</v>
      </c>
      <c r="R35" s="977">
        <v>104.27953890489914</v>
      </c>
    </row>
    <row r="36" spans="1:18" s="293" customFormat="1" ht="15.75" customHeight="1">
      <c r="A36" s="984"/>
      <c r="B36" s="994" t="s">
        <v>728</v>
      </c>
      <c r="C36" s="980" t="s">
        <v>717</v>
      </c>
      <c r="D36" s="986">
        <v>18504</v>
      </c>
      <c r="E36" s="1006">
        <v>21111</v>
      </c>
      <c r="F36" s="963">
        <f>SUM(G36:P36)</f>
        <v>21466</v>
      </c>
      <c r="G36" s="1025">
        <v>0</v>
      </c>
      <c r="H36" s="1026">
        <v>1561</v>
      </c>
      <c r="I36" s="1026">
        <v>3588</v>
      </c>
      <c r="J36" s="1025">
        <v>2</v>
      </c>
      <c r="K36" s="1026">
        <v>2516</v>
      </c>
      <c r="L36" s="1026">
        <v>3076</v>
      </c>
      <c r="M36" s="1026">
        <v>4074</v>
      </c>
      <c r="N36" s="1026">
        <v>800</v>
      </c>
      <c r="O36" s="1026">
        <v>2120</v>
      </c>
      <c r="P36" s="1026">
        <v>3729</v>
      </c>
      <c r="Q36" s="1010">
        <v>107.22006052745353</v>
      </c>
      <c r="R36" s="1010">
        <v>107.03629032258064</v>
      </c>
    </row>
    <row r="37" spans="1:18" s="293" customFormat="1" ht="15.75" customHeight="1">
      <c r="A37" s="968"/>
      <c r="B37" s="971" t="s">
        <v>720</v>
      </c>
      <c r="C37" s="980" t="s">
        <v>699</v>
      </c>
      <c r="D37" s="962">
        <v>2898</v>
      </c>
      <c r="E37" s="964">
        <v>2889</v>
      </c>
      <c r="F37" s="1193">
        <f>SUM(G37:P37)</f>
        <v>2937</v>
      </c>
      <c r="G37" s="964">
        <f>149+18</f>
        <v>167</v>
      </c>
      <c r="H37" s="964">
        <v>474</v>
      </c>
      <c r="I37" s="964">
        <v>380</v>
      </c>
      <c r="J37" s="964">
        <v>52</v>
      </c>
      <c r="K37" s="964">
        <v>302</v>
      </c>
      <c r="L37" s="964">
        <v>303</v>
      </c>
      <c r="M37" s="964">
        <v>333</v>
      </c>
      <c r="N37" s="964">
        <v>232</v>
      </c>
      <c r="O37" s="964">
        <v>403</v>
      </c>
      <c r="P37" s="964">
        <v>291</v>
      </c>
      <c r="Q37" s="977">
        <v>101.06970324361629</v>
      </c>
      <c r="R37" s="977">
        <v>100.102424035507</v>
      </c>
    </row>
    <row r="38" spans="1:18" s="293" customFormat="1" ht="15.75" customHeight="1">
      <c r="A38" s="984"/>
      <c r="B38" s="994" t="s">
        <v>729</v>
      </c>
      <c r="C38" s="980" t="s">
        <v>19</v>
      </c>
      <c r="D38" s="1003">
        <v>99.9</v>
      </c>
      <c r="E38" s="1027">
        <v>99.9</v>
      </c>
      <c r="F38" s="1018">
        <f>SUM(G38:P38)/10</f>
        <v>99.78999999999999</v>
      </c>
      <c r="G38" s="1018">
        <v>99.9</v>
      </c>
      <c r="H38" s="1018">
        <v>99.9</v>
      </c>
      <c r="I38" s="1018">
        <v>99.8</v>
      </c>
      <c r="J38" s="1018">
        <v>99</v>
      </c>
      <c r="K38" s="1018">
        <v>100</v>
      </c>
      <c r="L38" s="1018">
        <v>100</v>
      </c>
      <c r="M38" s="1018">
        <v>99.8</v>
      </c>
      <c r="N38" s="1018">
        <v>99.7</v>
      </c>
      <c r="O38" s="1018">
        <v>99.8</v>
      </c>
      <c r="P38" s="1018">
        <v>100</v>
      </c>
      <c r="Q38" s="1010">
        <v>100</v>
      </c>
      <c r="R38" s="1010">
        <v>99.90990990990989</v>
      </c>
    </row>
    <row r="39" spans="1:18" s="293" customFormat="1" ht="15.75" customHeight="1">
      <c r="A39" s="990"/>
      <c r="B39" s="994" t="s">
        <v>730</v>
      </c>
      <c r="C39" s="980" t="s">
        <v>19</v>
      </c>
      <c r="D39" s="981">
        <v>99.8</v>
      </c>
      <c r="E39" s="1027">
        <v>99.8</v>
      </c>
      <c r="F39" s="1018">
        <f>F35*100/((G35*100/G39)+(H35*100/H39)+(I35*100/I39)+(J35*100/J39)+(K35*100/K39)+(L35*100/L39)+(M35*100/M39)+(N35*100/N39)+(O35*100/O39)+(P35*100/P39))</f>
        <v>99.79955905603354</v>
      </c>
      <c r="G39" s="1018">
        <v>99.8</v>
      </c>
      <c r="H39" s="1018">
        <v>99.8</v>
      </c>
      <c r="I39" s="1018">
        <v>99.8</v>
      </c>
      <c r="J39" s="1018">
        <v>99.8</v>
      </c>
      <c r="K39" s="1018">
        <v>99.9</v>
      </c>
      <c r="L39" s="1018">
        <v>99.9184339314845</v>
      </c>
      <c r="M39" s="1018">
        <v>99.6</v>
      </c>
      <c r="N39" s="1018">
        <v>99.8</v>
      </c>
      <c r="O39" s="1018">
        <v>99.7</v>
      </c>
      <c r="P39" s="1018">
        <v>99.93616749648922</v>
      </c>
      <c r="Q39" s="1010">
        <v>100</v>
      </c>
      <c r="R39" s="1010">
        <v>100.01549112504749</v>
      </c>
    </row>
    <row r="40" spans="1:18" s="293" customFormat="1" ht="15.75" customHeight="1">
      <c r="A40" s="990"/>
      <c r="B40" s="994" t="s">
        <v>731</v>
      </c>
      <c r="C40" s="980" t="s">
        <v>19</v>
      </c>
      <c r="D40" s="1003">
        <v>48</v>
      </c>
      <c r="E40" s="1027">
        <v>48</v>
      </c>
      <c r="F40" s="1018">
        <f>SUM(G40:P40)/10</f>
        <v>48.07045077666844</v>
      </c>
      <c r="G40" s="1018">
        <v>46.75972083748754</v>
      </c>
      <c r="H40" s="1018">
        <v>47.5</v>
      </c>
      <c r="I40" s="1018">
        <v>47.84433855230316</v>
      </c>
      <c r="J40" s="1018">
        <v>46.92982456140351</v>
      </c>
      <c r="K40" s="1018">
        <v>48.48983253588517</v>
      </c>
      <c r="L40" s="1018">
        <v>48.49150556531928</v>
      </c>
      <c r="M40" s="1018">
        <v>49.1</v>
      </c>
      <c r="N40" s="1018">
        <v>48.589285714285715</v>
      </c>
      <c r="O40" s="1018">
        <v>48</v>
      </c>
      <c r="P40" s="1018">
        <v>49</v>
      </c>
      <c r="Q40" s="1010">
        <v>100</v>
      </c>
      <c r="R40" s="1010">
        <v>100.23685969385834</v>
      </c>
    </row>
    <row r="41" spans="1:18" s="293" customFormat="1" ht="15.75" customHeight="1">
      <c r="A41" s="990"/>
      <c r="B41" s="994" t="s">
        <v>724</v>
      </c>
      <c r="C41" s="980" t="s">
        <v>19</v>
      </c>
      <c r="D41" s="1028">
        <v>0.02</v>
      </c>
      <c r="E41" s="1029">
        <v>0.03</v>
      </c>
      <c r="F41" s="1021">
        <v>0.0290175487080282</v>
      </c>
      <c r="G41" s="1021">
        <v>0</v>
      </c>
      <c r="H41" s="1021">
        <v>0.05</v>
      </c>
      <c r="I41" s="1021">
        <v>0.07</v>
      </c>
      <c r="J41" s="1021">
        <v>0</v>
      </c>
      <c r="K41" s="1021">
        <v>0.02</v>
      </c>
      <c r="L41" s="1021">
        <v>0.07</v>
      </c>
      <c r="M41" s="1021">
        <v>0.06</v>
      </c>
      <c r="N41" s="1021">
        <v>0.01</v>
      </c>
      <c r="O41" s="1021">
        <v>0</v>
      </c>
      <c r="P41" s="1021">
        <v>0.19149751053236308</v>
      </c>
      <c r="Q41" s="1010">
        <v>150</v>
      </c>
      <c r="R41" s="1010">
        <v>96.72516236009395</v>
      </c>
    </row>
    <row r="42" spans="1:18" s="293" customFormat="1" ht="15.75" customHeight="1">
      <c r="A42" s="991"/>
      <c r="B42" s="994" t="s">
        <v>732</v>
      </c>
      <c r="C42" s="980" t="s">
        <v>19</v>
      </c>
      <c r="D42" s="1030">
        <v>0.22368894042614848</v>
      </c>
      <c r="E42" s="1029">
        <v>0.23</v>
      </c>
      <c r="F42" s="1021">
        <v>0.22</v>
      </c>
      <c r="G42" s="1018">
        <v>0.2</v>
      </c>
      <c r="H42" s="1018">
        <v>0.5</v>
      </c>
      <c r="I42" s="1018">
        <v>0.7</v>
      </c>
      <c r="J42" s="1018">
        <v>0</v>
      </c>
      <c r="K42" s="1018">
        <v>0.1</v>
      </c>
      <c r="L42" s="1018">
        <v>0.8</v>
      </c>
      <c r="M42" s="1018">
        <v>0.15</v>
      </c>
      <c r="N42" s="1018">
        <v>0.4000000000000057</v>
      </c>
      <c r="O42" s="1018">
        <v>0.1</v>
      </c>
      <c r="P42" s="1018">
        <v>0.25533001404315075</v>
      </c>
      <c r="Q42" s="1010">
        <v>102.82135520952818</v>
      </c>
      <c r="R42" s="1010">
        <v>86.95652173913044</v>
      </c>
    </row>
    <row r="43" spans="1:20" s="293" customFormat="1" ht="22.5" customHeight="1">
      <c r="A43" s="1023" t="s">
        <v>733</v>
      </c>
      <c r="B43" s="997" t="s">
        <v>734</v>
      </c>
      <c r="C43" s="998"/>
      <c r="D43" s="1031"/>
      <c r="E43" s="1032"/>
      <c r="F43" s="1194"/>
      <c r="G43" s="960"/>
      <c r="H43" s="960"/>
      <c r="I43" s="960"/>
      <c r="J43" s="960"/>
      <c r="K43" s="960"/>
      <c r="L43" s="960"/>
      <c r="M43" s="960"/>
      <c r="N43" s="960"/>
      <c r="O43" s="960"/>
      <c r="P43" s="960"/>
      <c r="Q43" s="977"/>
      <c r="R43" s="977"/>
      <c r="T43" s="297"/>
    </row>
    <row r="44" spans="1:20" s="293" customFormat="1" ht="15.75" customHeight="1">
      <c r="A44" s="968"/>
      <c r="B44" s="971" t="s">
        <v>716</v>
      </c>
      <c r="C44" s="980" t="s">
        <v>717</v>
      </c>
      <c r="D44" s="964">
        <v>45433</v>
      </c>
      <c r="E44" s="964">
        <v>46237</v>
      </c>
      <c r="F44" s="1033">
        <f>SUM(G44:P44)</f>
        <v>47322</v>
      </c>
      <c r="G44" s="1033">
        <f>3480+360</f>
        <v>3840</v>
      </c>
      <c r="H44" s="1033">
        <v>7930</v>
      </c>
      <c r="I44" s="1033">
        <v>5600</v>
      </c>
      <c r="J44" s="1033">
        <v>730</v>
      </c>
      <c r="K44" s="1033">
        <v>4370</v>
      </c>
      <c r="L44" s="1033">
        <v>4320</v>
      </c>
      <c r="M44" s="1033">
        <v>5050</v>
      </c>
      <c r="N44" s="1033">
        <v>3800</v>
      </c>
      <c r="O44" s="1033">
        <v>6690</v>
      </c>
      <c r="P44" s="1033">
        <v>4992</v>
      </c>
      <c r="Q44" s="977">
        <v>102.08438799991195</v>
      </c>
      <c r="R44" s="977">
        <v>100.90556274256144</v>
      </c>
      <c r="T44" s="298"/>
    </row>
    <row r="45" spans="1:18" s="293" customFormat="1" ht="15.75" customHeight="1">
      <c r="A45" s="984"/>
      <c r="B45" s="994" t="s">
        <v>728</v>
      </c>
      <c r="C45" s="980" t="s">
        <v>717</v>
      </c>
      <c r="D45" s="1006">
        <v>16457</v>
      </c>
      <c r="E45" s="1006">
        <v>21723</v>
      </c>
      <c r="F45" s="1195">
        <f>SUM(G45:P45)</f>
        <v>20969</v>
      </c>
      <c r="G45" s="1006">
        <v>0</v>
      </c>
      <c r="H45" s="1006">
        <v>1731</v>
      </c>
      <c r="I45" s="1006">
        <v>3455</v>
      </c>
      <c r="J45" s="1006">
        <v>95</v>
      </c>
      <c r="K45" s="1006">
        <v>2361</v>
      </c>
      <c r="L45" s="1006">
        <v>3428</v>
      </c>
      <c r="M45" s="1006">
        <v>3492</v>
      </c>
      <c r="N45" s="1006">
        <v>920</v>
      </c>
      <c r="O45" s="1006">
        <v>2475</v>
      </c>
      <c r="P45" s="1006">
        <v>3012</v>
      </c>
      <c r="Q45" s="1010">
        <v>127.22853496992161</v>
      </c>
      <c r="R45" s="1010">
        <v>99.27882319228198</v>
      </c>
    </row>
    <row r="46" spans="1:18" s="293" customFormat="1" ht="15.75" customHeight="1">
      <c r="A46" s="968"/>
      <c r="B46" s="971" t="s">
        <v>720</v>
      </c>
      <c r="C46" s="980" t="s">
        <v>699</v>
      </c>
      <c r="D46" s="964">
        <v>1370</v>
      </c>
      <c r="E46" s="964">
        <v>1385</v>
      </c>
      <c r="F46" s="1033">
        <f>SUM(G46:P46)</f>
        <v>1383</v>
      </c>
      <c r="G46" s="964">
        <f>98+12</f>
        <v>110</v>
      </c>
      <c r="H46" s="964">
        <v>245</v>
      </c>
      <c r="I46" s="964">
        <v>164</v>
      </c>
      <c r="J46" s="964">
        <v>24</v>
      </c>
      <c r="K46" s="964">
        <v>127</v>
      </c>
      <c r="L46" s="964">
        <v>139</v>
      </c>
      <c r="M46" s="964">
        <v>150</v>
      </c>
      <c r="N46" s="964">
        <v>106</v>
      </c>
      <c r="O46" s="964">
        <v>204</v>
      </c>
      <c r="P46" s="964">
        <v>114</v>
      </c>
      <c r="Q46" s="977">
        <v>102.62773722627739</v>
      </c>
      <c r="R46" s="977">
        <v>98.50640113798008</v>
      </c>
    </row>
    <row r="47" spans="1:18" s="293" customFormat="1" ht="15.75" customHeight="1">
      <c r="A47" s="984"/>
      <c r="B47" s="994" t="s">
        <v>735</v>
      </c>
      <c r="C47" s="980" t="s">
        <v>19</v>
      </c>
      <c r="D47" s="1034">
        <v>96.9</v>
      </c>
      <c r="E47" s="1027">
        <v>96.6</v>
      </c>
      <c r="F47" s="1018">
        <f>SUM(G47:P47)/10</f>
        <v>97.59</v>
      </c>
      <c r="G47" s="1000">
        <v>99.5</v>
      </c>
      <c r="H47" s="1000">
        <v>97.6</v>
      </c>
      <c r="I47" s="1000">
        <v>95.8</v>
      </c>
      <c r="J47" s="1000">
        <v>99.1</v>
      </c>
      <c r="K47" s="1000">
        <v>97.5</v>
      </c>
      <c r="L47" s="1000">
        <v>98.6</v>
      </c>
      <c r="M47" s="1000">
        <v>96.5</v>
      </c>
      <c r="N47" s="1000">
        <v>98</v>
      </c>
      <c r="O47" s="1000">
        <v>98.3</v>
      </c>
      <c r="P47" s="1000">
        <v>95</v>
      </c>
      <c r="Q47" s="1010">
        <v>100</v>
      </c>
      <c r="R47" s="1010">
        <v>100.577915376677</v>
      </c>
    </row>
    <row r="48" spans="1:18" s="293" customFormat="1" ht="15.75" customHeight="1">
      <c r="A48" s="990"/>
      <c r="B48" s="994" t="s">
        <v>736</v>
      </c>
      <c r="C48" s="980" t="s">
        <v>19</v>
      </c>
      <c r="D48" s="1034">
        <v>95.5</v>
      </c>
      <c r="E48" s="983">
        <v>95.4</v>
      </c>
      <c r="F48" s="1018">
        <f>F44*100/((G44*100/G48)+(H44*100/H48)+(I44*100/I48)+(J44*100/J48)+(K44*100/K48)+(L44*100/L48)+(M44*100/M48)+(N44*100/N48)+(O44*100/O48)+(P44*100/P48))</f>
        <v>95.8985646743938</v>
      </c>
      <c r="G48" s="1000">
        <v>99.604</v>
      </c>
      <c r="H48" s="1000">
        <v>97.503</v>
      </c>
      <c r="I48" s="1000">
        <v>92.402</v>
      </c>
      <c r="J48" s="1000">
        <v>98.502</v>
      </c>
      <c r="K48" s="1000">
        <v>96.302</v>
      </c>
      <c r="L48" s="1000">
        <v>97.502</v>
      </c>
      <c r="M48" s="1000">
        <v>96.102</v>
      </c>
      <c r="N48" s="1000">
        <v>96.202</v>
      </c>
      <c r="O48" s="1000">
        <v>97</v>
      </c>
      <c r="P48" s="1000">
        <v>91</v>
      </c>
      <c r="Q48" s="1010">
        <v>100</v>
      </c>
      <c r="R48" s="1010">
        <v>100.80628272251309</v>
      </c>
    </row>
    <row r="49" spans="1:18" s="293" customFormat="1" ht="15.75" customHeight="1">
      <c r="A49" s="990"/>
      <c r="B49" s="994" t="s">
        <v>731</v>
      </c>
      <c r="C49" s="980" t="s">
        <v>19</v>
      </c>
      <c r="D49" s="1035">
        <v>45.2</v>
      </c>
      <c r="E49" s="1027">
        <v>46.1</v>
      </c>
      <c r="F49" s="1018">
        <f>SUM(G49:P49)/10</f>
        <v>46.00049524737335</v>
      </c>
      <c r="G49" s="1000">
        <v>48.11247071075241</v>
      </c>
      <c r="H49" s="1000">
        <v>47.477931904161416</v>
      </c>
      <c r="I49" s="1000">
        <v>45.232946726951056</v>
      </c>
      <c r="J49" s="1000">
        <v>50.53333333333333</v>
      </c>
      <c r="K49" s="1000">
        <v>40.05493247882811</v>
      </c>
      <c r="L49" s="1000">
        <v>44.18981481481482</v>
      </c>
      <c r="M49" s="1000">
        <v>46.20352250489237</v>
      </c>
      <c r="N49" s="1000">
        <v>48</v>
      </c>
      <c r="O49" s="1000">
        <v>43</v>
      </c>
      <c r="P49" s="1000">
        <v>47.2</v>
      </c>
      <c r="Q49" s="1010">
        <v>101.76991150442478</v>
      </c>
      <c r="R49" s="1010">
        <v>100</v>
      </c>
    </row>
    <row r="50" spans="1:18" s="293" customFormat="1" ht="15.75" customHeight="1">
      <c r="A50" s="990"/>
      <c r="B50" s="994" t="s">
        <v>724</v>
      </c>
      <c r="C50" s="980" t="s">
        <v>19</v>
      </c>
      <c r="D50" s="1035">
        <v>0.5</v>
      </c>
      <c r="E50" s="1027">
        <v>0.4</v>
      </c>
      <c r="F50" s="1000">
        <v>0.4</v>
      </c>
      <c r="G50" s="1000">
        <v>0</v>
      </c>
      <c r="H50" s="1000">
        <v>0.31525851197982346</v>
      </c>
      <c r="I50" s="1000">
        <v>0.5</v>
      </c>
      <c r="J50" s="1000">
        <v>0.1</v>
      </c>
      <c r="K50" s="1000">
        <v>0.4</v>
      </c>
      <c r="L50" s="1000">
        <v>0.3</v>
      </c>
      <c r="M50" s="1000">
        <v>0.35225048923679064</v>
      </c>
      <c r="N50" s="1000">
        <v>0.6233766233766234</v>
      </c>
      <c r="O50" s="1000">
        <v>0.5</v>
      </c>
      <c r="P50" s="1000">
        <v>0.4608294930875576</v>
      </c>
      <c r="Q50" s="1010">
        <v>80</v>
      </c>
      <c r="R50" s="1010">
        <v>100</v>
      </c>
    </row>
    <row r="51" spans="1:18" s="293" customFormat="1" ht="15.75" customHeight="1">
      <c r="A51" s="991"/>
      <c r="B51" s="994" t="s">
        <v>732</v>
      </c>
      <c r="C51" s="980" t="s">
        <v>19</v>
      </c>
      <c r="D51" s="1035">
        <v>0.54</v>
      </c>
      <c r="E51" s="1027">
        <v>0.5</v>
      </c>
      <c r="F51" s="1000">
        <v>0.4</v>
      </c>
      <c r="G51" s="1000">
        <v>0.2</v>
      </c>
      <c r="H51" s="1000">
        <v>0.4050632911392405</v>
      </c>
      <c r="I51" s="1000">
        <v>0.4</v>
      </c>
      <c r="J51" s="1000">
        <v>0.1</v>
      </c>
      <c r="K51" s="1000">
        <v>0.2</v>
      </c>
      <c r="L51" s="1000">
        <v>0.5</v>
      </c>
      <c r="M51" s="1000">
        <v>0.6262230919765166</v>
      </c>
      <c r="N51" s="1000">
        <v>0.38961038961038963</v>
      </c>
      <c r="O51" s="1000">
        <v>0.2</v>
      </c>
      <c r="P51" s="1000">
        <v>0.3456221198156682</v>
      </c>
      <c r="Q51" s="1010">
        <v>92.59259259259258</v>
      </c>
      <c r="R51" s="1010">
        <v>81.36752136752136</v>
      </c>
    </row>
    <row r="52" spans="1:18" s="293" customFormat="1" ht="15.75" customHeight="1">
      <c r="A52" s="1023" t="s">
        <v>737</v>
      </c>
      <c r="B52" s="997" t="s">
        <v>738</v>
      </c>
      <c r="C52" s="998"/>
      <c r="D52" s="982"/>
      <c r="E52" s="1036"/>
      <c r="F52" s="1194"/>
      <c r="G52" s="960"/>
      <c r="H52" s="960"/>
      <c r="I52" s="960"/>
      <c r="J52" s="960"/>
      <c r="K52" s="960"/>
      <c r="L52" s="960"/>
      <c r="M52" s="960"/>
      <c r="N52" s="960"/>
      <c r="O52" s="960"/>
      <c r="P52" s="960"/>
      <c r="Q52" s="977"/>
      <c r="R52" s="977"/>
    </row>
    <row r="53" spans="1:18" s="293" customFormat="1" ht="15.75" customHeight="1">
      <c r="A53" s="1037"/>
      <c r="B53" s="971" t="s">
        <v>739</v>
      </c>
      <c r="C53" s="980" t="s">
        <v>717</v>
      </c>
      <c r="D53" s="964">
        <v>17230</v>
      </c>
      <c r="E53" s="964">
        <v>17931</v>
      </c>
      <c r="F53" s="1033">
        <f>SUM(G53:P53)</f>
        <v>18500</v>
      </c>
      <c r="G53" s="964">
        <v>4000</v>
      </c>
      <c r="H53" s="964">
        <v>3500</v>
      </c>
      <c r="I53" s="964">
        <v>1560</v>
      </c>
      <c r="J53" s="964">
        <v>510</v>
      </c>
      <c r="K53" s="964">
        <v>1180</v>
      </c>
      <c r="L53" s="964">
        <v>1350</v>
      </c>
      <c r="M53" s="964">
        <v>1510</v>
      </c>
      <c r="N53" s="964">
        <v>1530</v>
      </c>
      <c r="O53" s="964">
        <v>2040</v>
      </c>
      <c r="P53" s="964">
        <v>1320</v>
      </c>
      <c r="Q53" s="977">
        <v>104.4689495066744</v>
      </c>
      <c r="R53" s="977">
        <v>102.77777777777777</v>
      </c>
    </row>
    <row r="54" spans="1:18" s="293" customFormat="1" ht="15.75" customHeight="1">
      <c r="A54" s="984"/>
      <c r="B54" s="1038" t="s">
        <v>740</v>
      </c>
      <c r="C54" s="980"/>
      <c r="D54" s="1039">
        <v>2916</v>
      </c>
      <c r="E54" s="1040">
        <v>3189</v>
      </c>
      <c r="F54" s="1195">
        <f>SUM(G54:P54)</f>
        <v>3365</v>
      </c>
      <c r="G54" s="963">
        <v>600</v>
      </c>
      <c r="H54" s="963">
        <v>350</v>
      </c>
      <c r="I54" s="963">
        <v>350</v>
      </c>
      <c r="J54" s="963">
        <v>0</v>
      </c>
      <c r="K54" s="963">
        <v>350</v>
      </c>
      <c r="L54" s="963">
        <v>350</v>
      </c>
      <c r="M54" s="963">
        <v>315</v>
      </c>
      <c r="N54" s="963">
        <v>350</v>
      </c>
      <c r="O54" s="963">
        <v>350</v>
      </c>
      <c r="P54" s="963">
        <v>350</v>
      </c>
      <c r="Q54" s="1010">
        <v>111.79698216735254</v>
      </c>
      <c r="R54" s="1010">
        <v>103.22085889570552</v>
      </c>
    </row>
    <row r="55" spans="1:18" s="293" customFormat="1" ht="15.75" customHeight="1">
      <c r="A55" s="991"/>
      <c r="B55" s="1038" t="s">
        <v>741</v>
      </c>
      <c r="C55" s="980" t="s">
        <v>717</v>
      </c>
      <c r="D55" s="1006">
        <v>6192</v>
      </c>
      <c r="E55" s="1006">
        <v>6409</v>
      </c>
      <c r="F55" s="1195">
        <f>SUM(G55:P55)</f>
        <v>7588.5</v>
      </c>
      <c r="G55" s="1006">
        <v>500</v>
      </c>
      <c r="H55" s="1006">
        <v>1006</v>
      </c>
      <c r="I55" s="1006">
        <v>1074</v>
      </c>
      <c r="J55" s="1006">
        <v>230</v>
      </c>
      <c r="K55" s="1006">
        <v>640</v>
      </c>
      <c r="L55" s="1006">
        <v>870</v>
      </c>
      <c r="M55" s="1006">
        <v>964</v>
      </c>
      <c r="N55" s="1006">
        <v>683</v>
      </c>
      <c r="O55" s="1006">
        <v>924</v>
      </c>
      <c r="P55" s="1006">
        <v>697.5</v>
      </c>
      <c r="Q55" s="1010">
        <v>105.03875968992249</v>
      </c>
      <c r="R55" s="1010">
        <v>116.67435424354244</v>
      </c>
    </row>
    <row r="56" spans="1:18" s="299" customFormat="1" ht="15.75" customHeight="1">
      <c r="A56" s="992"/>
      <c r="B56" s="971" t="s">
        <v>742</v>
      </c>
      <c r="C56" s="980" t="s">
        <v>699</v>
      </c>
      <c r="D56" s="965">
        <v>514</v>
      </c>
      <c r="E56" s="1041">
        <v>512</v>
      </c>
      <c r="F56" s="1033">
        <f>SUM(G56:P56)</f>
        <v>552</v>
      </c>
      <c r="G56" s="976">
        <v>124</v>
      </c>
      <c r="H56" s="976">
        <v>114</v>
      </c>
      <c r="I56" s="976">
        <v>45</v>
      </c>
      <c r="J56" s="976">
        <v>14</v>
      </c>
      <c r="K56" s="976">
        <v>32</v>
      </c>
      <c r="L56" s="976">
        <v>35</v>
      </c>
      <c r="M56" s="976">
        <v>42</v>
      </c>
      <c r="N56" s="976">
        <v>48</v>
      </c>
      <c r="O56" s="976">
        <v>59</v>
      </c>
      <c r="P56" s="976">
        <v>39</v>
      </c>
      <c r="Q56" s="977">
        <v>100.77821011673151</v>
      </c>
      <c r="R56" s="977">
        <v>106.56370656370657</v>
      </c>
    </row>
    <row r="57" spans="1:18" s="293" customFormat="1" ht="15.75" customHeight="1">
      <c r="A57" s="984"/>
      <c r="B57" s="994" t="s">
        <v>743</v>
      </c>
      <c r="C57" s="980" t="s">
        <v>19</v>
      </c>
      <c r="D57" s="1034">
        <v>60.7</v>
      </c>
      <c r="E57" s="1027">
        <v>61.2</v>
      </c>
      <c r="F57" s="1000">
        <v>61.4</v>
      </c>
      <c r="G57" s="1000">
        <v>95</v>
      </c>
      <c r="H57" s="1000">
        <v>65.5</v>
      </c>
      <c r="I57" s="1000">
        <v>50.2</v>
      </c>
      <c r="J57" s="1000">
        <v>80.5</v>
      </c>
      <c r="K57" s="1000">
        <v>51</v>
      </c>
      <c r="L57" s="1000">
        <v>50.5</v>
      </c>
      <c r="M57" s="1000">
        <v>51.2</v>
      </c>
      <c r="N57" s="1000">
        <v>54</v>
      </c>
      <c r="O57" s="1000">
        <v>55.8</v>
      </c>
      <c r="P57" s="1000">
        <v>49.5</v>
      </c>
      <c r="Q57" s="1010">
        <v>100.32948929159802</v>
      </c>
      <c r="R57" s="1010">
        <v>100.16420361247948</v>
      </c>
    </row>
    <row r="58" spans="1:18" s="293" customFormat="1" ht="29.25" customHeight="1">
      <c r="A58" s="990"/>
      <c r="B58" s="994" t="s">
        <v>744</v>
      </c>
      <c r="C58" s="980" t="s">
        <v>19</v>
      </c>
      <c r="D58" s="1034">
        <v>63</v>
      </c>
      <c r="E58" s="1027">
        <v>63.3</v>
      </c>
      <c r="F58" s="1000">
        <v>63.6</v>
      </c>
      <c r="G58" s="1000">
        <v>95.4</v>
      </c>
      <c r="H58" s="1000">
        <v>68.6</v>
      </c>
      <c r="I58" s="1000">
        <v>55.8</v>
      </c>
      <c r="J58" s="1000">
        <v>74.8</v>
      </c>
      <c r="K58" s="1000">
        <v>52.2</v>
      </c>
      <c r="L58" s="1000">
        <v>53</v>
      </c>
      <c r="M58" s="1000">
        <v>55</v>
      </c>
      <c r="N58" s="1000">
        <v>57.5</v>
      </c>
      <c r="O58" s="1000">
        <v>59</v>
      </c>
      <c r="P58" s="1000">
        <v>49</v>
      </c>
      <c r="Q58" s="1010">
        <v>100.31746031746032</v>
      </c>
      <c r="R58" s="1010">
        <v>100.63291139240506</v>
      </c>
    </row>
    <row r="59" spans="1:18" s="293" customFormat="1" ht="15.75" customHeight="1">
      <c r="A59" s="990"/>
      <c r="B59" s="994" t="s">
        <v>731</v>
      </c>
      <c r="C59" s="980" t="s">
        <v>19</v>
      </c>
      <c r="D59" s="1035">
        <v>43.1</v>
      </c>
      <c r="E59" s="1027">
        <v>43.1</v>
      </c>
      <c r="F59" s="1000">
        <f>((G59/100*G53)+(H53/100*H59)+(I53/100*I59)+(J53/100*J59)+(K53/100*K59)+(L53/100*L59)+(M53/100*M59)+(N53/100*N59)+(O53/100*O59)+(P53/100*P59))/F53*100</f>
        <v>43.21913513513513</v>
      </c>
      <c r="G59" s="1000">
        <v>49.9</v>
      </c>
      <c r="H59" s="1000">
        <v>46.2</v>
      </c>
      <c r="I59" s="1000">
        <v>35.5</v>
      </c>
      <c r="J59" s="1000">
        <v>48.7</v>
      </c>
      <c r="K59" s="1000">
        <v>33.2</v>
      </c>
      <c r="L59" s="1000">
        <v>39.9</v>
      </c>
      <c r="M59" s="1000">
        <v>40.5</v>
      </c>
      <c r="N59" s="1000">
        <v>42.1</v>
      </c>
      <c r="O59" s="1000">
        <v>42.4</v>
      </c>
      <c r="P59" s="1000">
        <v>40.1</v>
      </c>
      <c r="Q59" s="1010">
        <v>100</v>
      </c>
      <c r="R59" s="1010">
        <v>100.23201856148492</v>
      </c>
    </row>
    <row r="60" spans="1:18" s="293" customFormat="1" ht="15.75" customHeight="1">
      <c r="A60" s="990"/>
      <c r="B60" s="994" t="s">
        <v>724</v>
      </c>
      <c r="C60" s="980" t="s">
        <v>19</v>
      </c>
      <c r="D60" s="1035">
        <v>2.9</v>
      </c>
      <c r="E60" s="1027">
        <v>2.3</v>
      </c>
      <c r="F60" s="1000">
        <v>2.2985708290356284</v>
      </c>
      <c r="G60" s="1000">
        <v>0.2</v>
      </c>
      <c r="H60" s="1000">
        <v>1.484480431848853</v>
      </c>
      <c r="I60" s="1000">
        <v>4</v>
      </c>
      <c r="J60" s="1000">
        <v>0.7889546351084813</v>
      </c>
      <c r="K60" s="1000">
        <v>3.278688524590164</v>
      </c>
      <c r="L60" s="1000">
        <v>2.4475524475524475</v>
      </c>
      <c r="M60" s="1000">
        <v>3.245033112582781</v>
      </c>
      <c r="N60" s="1000">
        <v>2.03359173126615</v>
      </c>
      <c r="O60" s="1000">
        <v>4.1</v>
      </c>
      <c r="P60" s="1000">
        <v>1.4074074074074074</v>
      </c>
      <c r="Q60" s="1010">
        <v>79.31034482758619</v>
      </c>
      <c r="R60" s="1010">
        <v>99.93786213198385</v>
      </c>
    </row>
    <row r="61" spans="1:18" s="293" customFormat="1" ht="15.75" customHeight="1">
      <c r="A61" s="990"/>
      <c r="B61" s="994" t="s">
        <v>725</v>
      </c>
      <c r="C61" s="980" t="s">
        <v>19</v>
      </c>
      <c r="D61" s="1035">
        <v>1.8</v>
      </c>
      <c r="E61" s="1027">
        <v>1.7</v>
      </c>
      <c r="F61" s="1000">
        <v>1.59</v>
      </c>
      <c r="G61" s="1000">
        <v>1.57</v>
      </c>
      <c r="H61" s="1000">
        <v>2.26</v>
      </c>
      <c r="I61" s="1000">
        <v>2.3</v>
      </c>
      <c r="J61" s="1000">
        <v>0.5</v>
      </c>
      <c r="K61" s="1000">
        <v>1.24</v>
      </c>
      <c r="L61" s="1000">
        <v>2.1</v>
      </c>
      <c r="M61" s="1000">
        <v>1.5</v>
      </c>
      <c r="N61" s="1000">
        <v>1.46</v>
      </c>
      <c r="O61" s="1000">
        <v>1.6</v>
      </c>
      <c r="P61" s="1000">
        <v>1.37</v>
      </c>
      <c r="Q61" s="1010">
        <v>94.44444444444444</v>
      </c>
      <c r="R61" s="1010">
        <v>93.52941176470587</v>
      </c>
    </row>
    <row r="62" spans="1:18" s="293" customFormat="1" ht="15.75" customHeight="1">
      <c r="A62" s="968">
        <v>3</v>
      </c>
      <c r="B62" s="971" t="s">
        <v>745</v>
      </c>
      <c r="C62" s="980" t="s">
        <v>746</v>
      </c>
      <c r="D62" s="1024">
        <f>SUM(D63:D65)</f>
        <v>2589</v>
      </c>
      <c r="E62" s="1024">
        <f>SUM(E63:E65)</f>
        <v>2143</v>
      </c>
      <c r="F62" s="1024">
        <f aca="true" t="shared" si="6" ref="F62:F68">SUM(G62:P62)</f>
        <v>1321</v>
      </c>
      <c r="G62" s="1024">
        <f>SUM(G63:G65)</f>
        <v>80</v>
      </c>
      <c r="H62" s="1024">
        <f aca="true" t="shared" si="7" ref="H62:P62">SUM(H63:H65)</f>
        <v>150</v>
      </c>
      <c r="I62" s="1024">
        <f t="shared" si="7"/>
        <v>148</v>
      </c>
      <c r="J62" s="1024">
        <f t="shared" si="7"/>
        <v>0</v>
      </c>
      <c r="K62" s="1024">
        <f t="shared" si="7"/>
        <v>140</v>
      </c>
      <c r="L62" s="1024">
        <f t="shared" si="7"/>
        <v>378</v>
      </c>
      <c r="M62" s="1024">
        <f t="shared" si="7"/>
        <v>0</v>
      </c>
      <c r="N62" s="1024">
        <f t="shared" si="7"/>
        <v>50</v>
      </c>
      <c r="O62" s="1024">
        <f t="shared" si="7"/>
        <v>80</v>
      </c>
      <c r="P62" s="1024">
        <f t="shared" si="7"/>
        <v>295</v>
      </c>
      <c r="Q62" s="977">
        <v>115.10235612205484</v>
      </c>
      <c r="R62" s="977">
        <v>47.013422818791945</v>
      </c>
    </row>
    <row r="63" spans="1:18" s="293" customFormat="1" ht="15.75" customHeight="1">
      <c r="A63" s="984"/>
      <c r="B63" s="994" t="s">
        <v>747</v>
      </c>
      <c r="C63" s="980" t="s">
        <v>746</v>
      </c>
      <c r="D63" s="1039">
        <v>1867</v>
      </c>
      <c r="E63" s="1040">
        <v>1445</v>
      </c>
      <c r="F63" s="1195">
        <f t="shared" si="6"/>
        <v>490</v>
      </c>
      <c r="G63" s="1026">
        <v>0</v>
      </c>
      <c r="H63" s="1026">
        <v>0</v>
      </c>
      <c r="I63" s="1026">
        <v>50</v>
      </c>
      <c r="J63" s="1026">
        <v>0</v>
      </c>
      <c r="K63" s="1026">
        <v>120</v>
      </c>
      <c r="L63" s="1026">
        <v>200</v>
      </c>
      <c r="M63" s="1026">
        <v>0</v>
      </c>
      <c r="N63" s="1026">
        <v>0</v>
      </c>
      <c r="O63" s="1026">
        <v>0</v>
      </c>
      <c r="P63" s="1026">
        <v>120</v>
      </c>
      <c r="Q63" s="1010">
        <v>80.34279592929833</v>
      </c>
      <c r="R63" s="1010">
        <v>38</v>
      </c>
    </row>
    <row r="64" spans="1:18" s="293" customFormat="1" ht="15.75" customHeight="1">
      <c r="A64" s="990"/>
      <c r="B64" s="994" t="s">
        <v>748</v>
      </c>
      <c r="C64" s="980" t="s">
        <v>746</v>
      </c>
      <c r="D64" s="1039">
        <v>133</v>
      </c>
      <c r="E64" s="1040">
        <v>40</v>
      </c>
      <c r="F64" s="1195">
        <f t="shared" si="6"/>
        <v>50</v>
      </c>
      <c r="G64" s="1026"/>
      <c r="H64" s="1026">
        <v>50</v>
      </c>
      <c r="I64" s="1026"/>
      <c r="J64" s="1026"/>
      <c r="K64" s="1026"/>
      <c r="L64" s="1026"/>
      <c r="M64" s="1026"/>
      <c r="N64" s="1026"/>
      <c r="O64" s="1026"/>
      <c r="P64" s="1026"/>
      <c r="Q64" s="1010">
        <v>327.06766917293237</v>
      </c>
      <c r="R64" s="1010">
        <v>11.494252873563218</v>
      </c>
    </row>
    <row r="65" spans="1:18" s="293" customFormat="1" ht="15.75" customHeight="1">
      <c r="A65" s="991"/>
      <c r="B65" s="994" t="s">
        <v>749</v>
      </c>
      <c r="C65" s="980" t="s">
        <v>746</v>
      </c>
      <c r="D65" s="1039">
        <v>589</v>
      </c>
      <c r="E65" s="1040">
        <v>658</v>
      </c>
      <c r="F65" s="1195">
        <f t="shared" si="6"/>
        <v>781</v>
      </c>
      <c r="G65" s="1026">
        <v>80</v>
      </c>
      <c r="H65" s="1026">
        <v>100</v>
      </c>
      <c r="I65" s="1026">
        <v>98</v>
      </c>
      <c r="J65" s="1026">
        <v>0</v>
      </c>
      <c r="K65" s="1026">
        <v>20</v>
      </c>
      <c r="L65" s="1026">
        <v>178</v>
      </c>
      <c r="M65" s="1026">
        <v>0</v>
      </c>
      <c r="N65" s="1026">
        <v>50</v>
      </c>
      <c r="O65" s="1026">
        <v>80</v>
      </c>
      <c r="P65" s="1026">
        <v>175</v>
      </c>
      <c r="Q65" s="1010">
        <v>177.41935483870967</v>
      </c>
      <c r="R65" s="1010">
        <v>74.73684210526315</v>
      </c>
    </row>
    <row r="66" spans="1:18" s="293" customFormat="1" ht="15.75" customHeight="1">
      <c r="A66" s="968" t="s">
        <v>118</v>
      </c>
      <c r="B66" s="971" t="s">
        <v>750</v>
      </c>
      <c r="C66" s="980"/>
      <c r="D66" s="964">
        <f>D67+D68</f>
        <v>12551</v>
      </c>
      <c r="E66" s="964">
        <f>E67+E68</f>
        <v>16170</v>
      </c>
      <c r="F66" s="1033">
        <f t="shared" si="6"/>
        <v>17939</v>
      </c>
      <c r="G66" s="964">
        <f>G67+G68</f>
        <v>2242</v>
      </c>
      <c r="H66" s="964">
        <f aca="true" t="shared" si="8" ref="H66:N66">H67+H68</f>
        <v>3315</v>
      </c>
      <c r="I66" s="964">
        <f t="shared" si="8"/>
        <v>1854</v>
      </c>
      <c r="J66" s="964">
        <f t="shared" si="8"/>
        <v>346</v>
      </c>
      <c r="K66" s="964">
        <f t="shared" si="8"/>
        <v>1376</v>
      </c>
      <c r="L66" s="964">
        <f t="shared" si="8"/>
        <v>1530</v>
      </c>
      <c r="M66" s="964">
        <f t="shared" si="8"/>
        <v>1702</v>
      </c>
      <c r="N66" s="964">
        <f t="shared" si="8"/>
        <v>1391</v>
      </c>
      <c r="O66" s="964">
        <f>O67+O68</f>
        <v>2420</v>
      </c>
      <c r="P66" s="964">
        <f>P67+P68</f>
        <v>1763</v>
      </c>
      <c r="Q66" s="977">
        <v>134.3797306987491</v>
      </c>
      <c r="R66" s="977">
        <v>107.10897663939288</v>
      </c>
    </row>
    <row r="67" spans="1:18" s="293" customFormat="1" ht="15.75" customHeight="1">
      <c r="A67" s="984"/>
      <c r="B67" s="994" t="s">
        <v>751</v>
      </c>
      <c r="C67" s="980" t="s">
        <v>717</v>
      </c>
      <c r="D67" s="1006">
        <v>7254</v>
      </c>
      <c r="E67" s="1006">
        <v>10135</v>
      </c>
      <c r="F67" s="1195">
        <f t="shared" si="6"/>
        <v>11651</v>
      </c>
      <c r="G67" s="1006">
        <v>890</v>
      </c>
      <c r="H67" s="1006">
        <v>2090</v>
      </c>
      <c r="I67" s="1006">
        <v>1269</v>
      </c>
      <c r="J67" s="1006">
        <v>198</v>
      </c>
      <c r="K67" s="1006">
        <v>1045</v>
      </c>
      <c r="L67" s="1006">
        <v>1081</v>
      </c>
      <c r="M67" s="1006">
        <v>1208</v>
      </c>
      <c r="N67" s="1006">
        <v>850</v>
      </c>
      <c r="O67" s="1006">
        <v>1737</v>
      </c>
      <c r="P67" s="1006">
        <v>1283</v>
      </c>
      <c r="Q67" s="1010">
        <v>148.00110283981252</v>
      </c>
      <c r="R67" s="1010">
        <v>109.69634873323398</v>
      </c>
    </row>
    <row r="68" spans="1:18" s="293" customFormat="1" ht="15.75" customHeight="1">
      <c r="A68" s="991"/>
      <c r="B68" s="994" t="s">
        <v>752</v>
      </c>
      <c r="C68" s="980" t="s">
        <v>717</v>
      </c>
      <c r="D68" s="1006">
        <v>5297</v>
      </c>
      <c r="E68" s="1006">
        <v>6035</v>
      </c>
      <c r="F68" s="1195">
        <f t="shared" si="6"/>
        <v>6288</v>
      </c>
      <c r="G68" s="1006">
        <v>1352</v>
      </c>
      <c r="H68" s="1006">
        <v>1225</v>
      </c>
      <c r="I68" s="1006">
        <v>585</v>
      </c>
      <c r="J68" s="1006">
        <v>148</v>
      </c>
      <c r="K68" s="1006">
        <v>331</v>
      </c>
      <c r="L68" s="1006">
        <v>449</v>
      </c>
      <c r="M68" s="1006">
        <v>494</v>
      </c>
      <c r="N68" s="1006">
        <v>541</v>
      </c>
      <c r="O68" s="1006">
        <v>683</v>
      </c>
      <c r="P68" s="1006">
        <v>480</v>
      </c>
      <c r="Q68" s="1010">
        <v>115.72588257504248</v>
      </c>
      <c r="R68" s="1010">
        <v>102.57748776508973</v>
      </c>
    </row>
    <row r="69" spans="1:18" s="299" customFormat="1" ht="15.75" customHeight="1">
      <c r="A69" s="1023" t="s">
        <v>127</v>
      </c>
      <c r="B69" s="997" t="s">
        <v>753</v>
      </c>
      <c r="C69" s="1023"/>
      <c r="D69" s="1040"/>
      <c r="E69" s="964"/>
      <c r="F69" s="964"/>
      <c r="G69" s="969"/>
      <c r="H69" s="969"/>
      <c r="I69" s="969"/>
      <c r="J69" s="969"/>
      <c r="K69" s="969"/>
      <c r="L69" s="969"/>
      <c r="M69" s="969"/>
      <c r="N69" s="969"/>
      <c r="O69" s="969"/>
      <c r="P69" s="969"/>
      <c r="Q69" s="977"/>
      <c r="R69" s="977"/>
    </row>
    <row r="70" spans="1:18" s="299" customFormat="1" ht="15.75" customHeight="1">
      <c r="A70" s="966"/>
      <c r="B70" s="967" t="s">
        <v>754</v>
      </c>
      <c r="C70" s="968" t="s">
        <v>87</v>
      </c>
      <c r="D70" s="965">
        <v>130</v>
      </c>
      <c r="E70" s="975">
        <v>130</v>
      </c>
      <c r="F70" s="1033">
        <f aca="true" t="shared" si="9" ref="F70:F79">SUM(G70:P70)</f>
        <v>130</v>
      </c>
      <c r="G70" s="969">
        <v>9</v>
      </c>
      <c r="H70" s="969">
        <v>25</v>
      </c>
      <c r="I70" s="969">
        <v>14</v>
      </c>
      <c r="J70" s="969">
        <v>3</v>
      </c>
      <c r="K70" s="969">
        <v>12</v>
      </c>
      <c r="L70" s="969">
        <v>11</v>
      </c>
      <c r="M70" s="969">
        <v>15</v>
      </c>
      <c r="N70" s="969">
        <v>10</v>
      </c>
      <c r="O70" s="969">
        <v>19</v>
      </c>
      <c r="P70" s="969">
        <v>12</v>
      </c>
      <c r="Q70" s="961">
        <v>100</v>
      </c>
      <c r="R70" s="961">
        <v>100</v>
      </c>
    </row>
    <row r="71" spans="1:18" s="293" customFormat="1" ht="15.75" customHeight="1">
      <c r="A71" s="1016">
        <v>1</v>
      </c>
      <c r="B71" s="1042" t="s">
        <v>755</v>
      </c>
      <c r="C71" s="980" t="s">
        <v>87</v>
      </c>
      <c r="D71" s="1034">
        <v>130</v>
      </c>
      <c r="E71" s="983">
        <v>130</v>
      </c>
      <c r="F71" s="1195">
        <f t="shared" si="9"/>
        <v>130</v>
      </c>
      <c r="G71" s="1015">
        <v>9</v>
      </c>
      <c r="H71" s="1015">
        <v>25</v>
      </c>
      <c r="I71" s="1015">
        <v>14</v>
      </c>
      <c r="J71" s="1015">
        <v>3</v>
      </c>
      <c r="K71" s="1015">
        <v>12</v>
      </c>
      <c r="L71" s="1015">
        <v>11</v>
      </c>
      <c r="M71" s="1015">
        <v>15</v>
      </c>
      <c r="N71" s="1015">
        <v>10</v>
      </c>
      <c r="O71" s="1015">
        <v>19</v>
      </c>
      <c r="P71" s="1015">
        <v>12</v>
      </c>
      <c r="Q71" s="1009">
        <v>100</v>
      </c>
      <c r="R71" s="1009">
        <v>100</v>
      </c>
    </row>
    <row r="72" spans="1:18" s="293" customFormat="1" ht="15.75" customHeight="1">
      <c r="A72" s="1016">
        <v>2</v>
      </c>
      <c r="B72" s="1042" t="s">
        <v>756</v>
      </c>
      <c r="C72" s="980" t="s">
        <v>87</v>
      </c>
      <c r="D72" s="1034">
        <v>130</v>
      </c>
      <c r="E72" s="983">
        <v>130</v>
      </c>
      <c r="F72" s="1195">
        <f t="shared" si="9"/>
        <v>130</v>
      </c>
      <c r="G72" s="1015">
        <v>9</v>
      </c>
      <c r="H72" s="1015">
        <v>25</v>
      </c>
      <c r="I72" s="1015">
        <v>14</v>
      </c>
      <c r="J72" s="1015">
        <v>3</v>
      </c>
      <c r="K72" s="1015">
        <v>12</v>
      </c>
      <c r="L72" s="1015">
        <v>11</v>
      </c>
      <c r="M72" s="1015">
        <v>15</v>
      </c>
      <c r="N72" s="1015">
        <v>10</v>
      </c>
      <c r="O72" s="1015">
        <v>19</v>
      </c>
      <c r="P72" s="1015">
        <v>12</v>
      </c>
      <c r="Q72" s="1009">
        <v>100</v>
      </c>
      <c r="R72" s="1009">
        <v>100</v>
      </c>
    </row>
    <row r="73" spans="1:18" s="293" customFormat="1" ht="15.75" customHeight="1">
      <c r="A73" s="1016">
        <v>3</v>
      </c>
      <c r="B73" s="1042" t="s">
        <v>757</v>
      </c>
      <c r="C73" s="980" t="s">
        <v>87</v>
      </c>
      <c r="D73" s="1034">
        <v>130</v>
      </c>
      <c r="E73" s="983">
        <v>130</v>
      </c>
      <c r="F73" s="1195">
        <f t="shared" si="9"/>
        <v>130</v>
      </c>
      <c r="G73" s="1015">
        <v>9</v>
      </c>
      <c r="H73" s="1015">
        <v>25</v>
      </c>
      <c r="I73" s="1015">
        <v>14</v>
      </c>
      <c r="J73" s="1015">
        <v>3</v>
      </c>
      <c r="K73" s="1015">
        <v>12</v>
      </c>
      <c r="L73" s="1015">
        <v>11</v>
      </c>
      <c r="M73" s="1015">
        <v>15</v>
      </c>
      <c r="N73" s="1015">
        <v>10</v>
      </c>
      <c r="O73" s="1015">
        <v>19</v>
      </c>
      <c r="P73" s="1015">
        <v>12</v>
      </c>
      <c r="Q73" s="1009">
        <v>100</v>
      </c>
      <c r="R73" s="1010">
        <v>100</v>
      </c>
    </row>
    <row r="74" spans="1:18" s="293" customFormat="1" ht="15.75" customHeight="1">
      <c r="A74" s="1016">
        <v>4</v>
      </c>
      <c r="B74" s="1042" t="s">
        <v>758</v>
      </c>
      <c r="C74" s="980" t="s">
        <v>87</v>
      </c>
      <c r="D74" s="1034">
        <v>105</v>
      </c>
      <c r="E74" s="1043">
        <v>112</v>
      </c>
      <c r="F74" s="1195">
        <f>SUM(G74:P74)</f>
        <v>116</v>
      </c>
      <c r="G74" s="1031">
        <v>9</v>
      </c>
      <c r="H74" s="1031">
        <v>25</v>
      </c>
      <c r="I74" s="1031">
        <v>12</v>
      </c>
      <c r="J74" s="1031">
        <v>3</v>
      </c>
      <c r="K74" s="1031">
        <v>11</v>
      </c>
      <c r="L74" s="1031">
        <v>8</v>
      </c>
      <c r="M74" s="1031">
        <v>13</v>
      </c>
      <c r="N74" s="1031">
        <v>10</v>
      </c>
      <c r="O74" s="1031">
        <v>18</v>
      </c>
      <c r="P74" s="1031">
        <v>7</v>
      </c>
      <c r="Q74" s="1009">
        <v>106.66666666666667</v>
      </c>
      <c r="R74" s="1010">
        <v>105.35714285714286</v>
      </c>
    </row>
    <row r="75" spans="1:18" s="293" customFormat="1" ht="15.75" customHeight="1">
      <c r="A75" s="1016">
        <v>5</v>
      </c>
      <c r="B75" s="1042" t="s">
        <v>759</v>
      </c>
      <c r="C75" s="980" t="s">
        <v>87</v>
      </c>
      <c r="D75" s="1034">
        <v>130</v>
      </c>
      <c r="E75" s="983">
        <v>130</v>
      </c>
      <c r="F75" s="1195">
        <f t="shared" si="9"/>
        <v>130</v>
      </c>
      <c r="G75" s="1015">
        <v>9</v>
      </c>
      <c r="H75" s="1015">
        <v>25</v>
      </c>
      <c r="I75" s="1015">
        <v>14</v>
      </c>
      <c r="J75" s="1015">
        <v>3</v>
      </c>
      <c r="K75" s="1015">
        <v>12</v>
      </c>
      <c r="L75" s="1015">
        <v>11</v>
      </c>
      <c r="M75" s="1015">
        <v>15</v>
      </c>
      <c r="N75" s="1015">
        <v>10</v>
      </c>
      <c r="O75" s="1015">
        <v>19</v>
      </c>
      <c r="P75" s="1015">
        <v>12</v>
      </c>
      <c r="Q75" s="1009">
        <v>100</v>
      </c>
      <c r="R75" s="1009">
        <v>100</v>
      </c>
    </row>
    <row r="76" spans="1:18" s="293" customFormat="1" ht="15.75" customHeight="1">
      <c r="A76" s="1016">
        <v>6</v>
      </c>
      <c r="B76" s="1042" t="s">
        <v>760</v>
      </c>
      <c r="C76" s="980" t="s">
        <v>87</v>
      </c>
      <c r="D76" s="1044">
        <v>126</v>
      </c>
      <c r="E76" s="1043">
        <v>128</v>
      </c>
      <c r="F76" s="1195">
        <f t="shared" si="9"/>
        <v>130</v>
      </c>
      <c r="G76" s="1015">
        <v>9</v>
      </c>
      <c r="H76" s="1031">
        <v>25</v>
      </c>
      <c r="I76" s="1015">
        <v>14</v>
      </c>
      <c r="J76" s="1015">
        <v>3</v>
      </c>
      <c r="K76" s="1015">
        <v>12</v>
      </c>
      <c r="L76" s="1031">
        <v>11</v>
      </c>
      <c r="M76" s="1015">
        <v>15</v>
      </c>
      <c r="N76" s="1031">
        <v>10</v>
      </c>
      <c r="O76" s="1031">
        <v>19</v>
      </c>
      <c r="P76" s="1015">
        <v>12</v>
      </c>
      <c r="Q76" s="1009">
        <v>101.58730158730158</v>
      </c>
      <c r="R76" s="1010">
        <v>101.5625</v>
      </c>
    </row>
    <row r="77" spans="1:20" s="293" customFormat="1" ht="15.75" customHeight="1">
      <c r="A77" s="1016">
        <v>7</v>
      </c>
      <c r="B77" s="1042" t="s">
        <v>761</v>
      </c>
      <c r="C77" s="980" t="s">
        <v>87</v>
      </c>
      <c r="D77" s="1044">
        <v>31</v>
      </c>
      <c r="E77" s="1043">
        <v>46</v>
      </c>
      <c r="F77" s="1195">
        <f t="shared" si="9"/>
        <v>79</v>
      </c>
      <c r="G77" s="1015">
        <v>9</v>
      </c>
      <c r="H77" s="1015">
        <v>25</v>
      </c>
      <c r="I77" s="1015">
        <v>6</v>
      </c>
      <c r="J77" s="1015">
        <v>3</v>
      </c>
      <c r="K77" s="1015">
        <v>7</v>
      </c>
      <c r="L77" s="1031">
        <v>4</v>
      </c>
      <c r="M77" s="1015">
        <v>4</v>
      </c>
      <c r="N77" s="1031">
        <v>10</v>
      </c>
      <c r="O77" s="1031">
        <v>7</v>
      </c>
      <c r="P77" s="1015">
        <v>4</v>
      </c>
      <c r="Q77" s="1009">
        <v>148.38709677419354</v>
      </c>
      <c r="R77" s="1010">
        <v>171.73913043478262</v>
      </c>
      <c r="T77" s="302" t="s">
        <v>1040</v>
      </c>
    </row>
    <row r="78" spans="1:18" s="293" customFormat="1" ht="15.75" customHeight="1">
      <c r="A78" s="1016">
        <v>8</v>
      </c>
      <c r="B78" s="1042" t="s">
        <v>762</v>
      </c>
      <c r="C78" s="980" t="s">
        <v>87</v>
      </c>
      <c r="D78" s="1034">
        <v>130</v>
      </c>
      <c r="E78" s="983">
        <v>130</v>
      </c>
      <c r="F78" s="1195">
        <f t="shared" si="9"/>
        <v>130</v>
      </c>
      <c r="G78" s="1015">
        <v>9</v>
      </c>
      <c r="H78" s="1015">
        <v>25</v>
      </c>
      <c r="I78" s="1015">
        <v>14</v>
      </c>
      <c r="J78" s="1015">
        <v>3</v>
      </c>
      <c r="K78" s="1015">
        <v>12</v>
      </c>
      <c r="L78" s="1015">
        <v>11</v>
      </c>
      <c r="M78" s="1015">
        <v>15</v>
      </c>
      <c r="N78" s="1015">
        <v>10</v>
      </c>
      <c r="O78" s="1015">
        <v>19</v>
      </c>
      <c r="P78" s="1015">
        <v>12</v>
      </c>
      <c r="Q78" s="1009">
        <v>100</v>
      </c>
      <c r="R78" s="1010">
        <v>100</v>
      </c>
    </row>
    <row r="79" spans="1:18" s="293" customFormat="1" ht="15.75" customHeight="1">
      <c r="A79" s="1016">
        <v>9</v>
      </c>
      <c r="B79" s="1042" t="s">
        <v>763</v>
      </c>
      <c r="C79" s="980" t="s">
        <v>87</v>
      </c>
      <c r="D79" s="1044">
        <v>97</v>
      </c>
      <c r="E79" s="1043">
        <v>110</v>
      </c>
      <c r="F79" s="1195">
        <f t="shared" si="9"/>
        <v>130</v>
      </c>
      <c r="G79" s="1015">
        <v>9</v>
      </c>
      <c r="H79" s="1031">
        <v>25</v>
      </c>
      <c r="I79" s="1031">
        <v>14</v>
      </c>
      <c r="J79" s="1015">
        <v>3</v>
      </c>
      <c r="K79" s="1015">
        <v>12</v>
      </c>
      <c r="L79" s="1031">
        <v>11</v>
      </c>
      <c r="M79" s="1015">
        <v>15</v>
      </c>
      <c r="N79" s="1031">
        <v>10</v>
      </c>
      <c r="O79" s="1031">
        <v>19</v>
      </c>
      <c r="P79" s="1015">
        <v>12</v>
      </c>
      <c r="Q79" s="1009">
        <v>113.4020618556701</v>
      </c>
      <c r="R79" s="1010">
        <v>118.18181818181819</v>
      </c>
    </row>
    <row r="80" spans="1:20" s="293" customFormat="1" ht="15.75" customHeight="1">
      <c r="A80" s="992" t="s">
        <v>145</v>
      </c>
      <c r="B80" s="1045" t="s">
        <v>1062</v>
      </c>
      <c r="C80" s="980" t="s">
        <v>764</v>
      </c>
      <c r="D80" s="970">
        <f>D81+D84+D97+D98+D99+D100+D101+D102</f>
        <v>527</v>
      </c>
      <c r="E80" s="970">
        <f>E81+E84+E97+E98+E99+E100+E101+E102</f>
        <v>528</v>
      </c>
      <c r="F80" s="1033">
        <f>SUM(G80:P80)</f>
        <v>491</v>
      </c>
      <c r="G80" s="970">
        <f>G81+G84+G97+G98+G99+G100+G101+G102</f>
        <v>45</v>
      </c>
      <c r="H80" s="970">
        <f aca="true" t="shared" si="10" ref="H80:P80">H81+H84+H97+H98+H99+H100+H101+H102</f>
        <v>100</v>
      </c>
      <c r="I80" s="970">
        <f t="shared" si="10"/>
        <v>55</v>
      </c>
      <c r="J80" s="970">
        <f t="shared" si="10"/>
        <v>14</v>
      </c>
      <c r="K80" s="970">
        <f t="shared" si="10"/>
        <v>44</v>
      </c>
      <c r="L80" s="970">
        <f t="shared" si="10"/>
        <v>38</v>
      </c>
      <c r="M80" s="970">
        <f t="shared" si="10"/>
        <v>46</v>
      </c>
      <c r="N80" s="970">
        <f t="shared" si="10"/>
        <v>38</v>
      </c>
      <c r="O80" s="970">
        <f t="shared" si="10"/>
        <v>69</v>
      </c>
      <c r="P80" s="970">
        <f t="shared" si="10"/>
        <v>42</v>
      </c>
      <c r="Q80" s="977">
        <v>95.45454545454545</v>
      </c>
      <c r="R80" s="977">
        <v>96.82539682539682</v>
      </c>
      <c r="T80" s="297"/>
    </row>
    <row r="81" spans="1:20" s="293" customFormat="1" ht="15.75" customHeight="1">
      <c r="A81" s="968">
        <v>1</v>
      </c>
      <c r="B81" s="971" t="s">
        <v>765</v>
      </c>
      <c r="C81" s="968" t="s">
        <v>766</v>
      </c>
      <c r="D81" s="972">
        <v>176</v>
      </c>
      <c r="E81" s="972">
        <v>177</v>
      </c>
      <c r="F81" s="1033">
        <f aca="true" t="shared" si="11" ref="F81:F97">SUM(G81:P81)</f>
        <v>171</v>
      </c>
      <c r="G81" s="972">
        <v>18</v>
      </c>
      <c r="H81" s="972">
        <v>35</v>
      </c>
      <c r="I81" s="972">
        <v>19</v>
      </c>
      <c r="J81" s="972">
        <v>5</v>
      </c>
      <c r="K81" s="972">
        <v>15</v>
      </c>
      <c r="L81" s="972">
        <v>12</v>
      </c>
      <c r="M81" s="972">
        <v>16</v>
      </c>
      <c r="N81" s="972">
        <v>13</v>
      </c>
      <c r="O81" s="972">
        <v>24</v>
      </c>
      <c r="P81" s="972">
        <v>14</v>
      </c>
      <c r="Q81" s="973">
        <v>97.1590909090909</v>
      </c>
      <c r="R81" s="973">
        <v>98.83040935672514</v>
      </c>
      <c r="T81" s="297"/>
    </row>
    <row r="82" spans="1:20" s="293" customFormat="1" ht="15.75" customHeight="1">
      <c r="A82" s="984"/>
      <c r="B82" s="994" t="s">
        <v>767</v>
      </c>
      <c r="C82" s="980" t="s">
        <v>766</v>
      </c>
      <c r="D82" s="981">
        <v>105</v>
      </c>
      <c r="E82" s="983">
        <v>105</v>
      </c>
      <c r="F82" s="1195">
        <f t="shared" si="11"/>
        <v>115</v>
      </c>
      <c r="G82" s="1031">
        <v>14</v>
      </c>
      <c r="H82" s="1031">
        <v>28</v>
      </c>
      <c r="I82" s="1031">
        <v>12</v>
      </c>
      <c r="J82" s="1031">
        <v>5</v>
      </c>
      <c r="K82" s="1031">
        <v>11</v>
      </c>
      <c r="L82" s="1031">
        <v>5</v>
      </c>
      <c r="M82" s="1031">
        <v>8</v>
      </c>
      <c r="N82" s="1031">
        <v>9</v>
      </c>
      <c r="O82" s="1031">
        <v>19</v>
      </c>
      <c r="P82" s="1031">
        <v>4</v>
      </c>
      <c r="Q82" s="1009">
        <v>102.85714285714285</v>
      </c>
      <c r="R82" s="1010">
        <v>102.77777777777777</v>
      </c>
      <c r="T82" s="297"/>
    </row>
    <row r="83" spans="1:111" s="227" customFormat="1" ht="15.75" customHeight="1">
      <c r="A83" s="1046"/>
      <c r="B83" s="1038" t="s">
        <v>768</v>
      </c>
      <c r="C83" s="1047" t="s">
        <v>766</v>
      </c>
      <c r="D83" s="995">
        <v>3</v>
      </c>
      <c r="E83" s="1048">
        <v>4</v>
      </c>
      <c r="F83" s="1195">
        <f t="shared" si="11"/>
        <v>4</v>
      </c>
      <c r="G83" s="1031">
        <v>3</v>
      </c>
      <c r="H83" s="1031">
        <v>1</v>
      </c>
      <c r="I83" s="1031"/>
      <c r="J83" s="1031"/>
      <c r="K83" s="1031"/>
      <c r="L83" s="1031"/>
      <c r="M83" s="1031"/>
      <c r="N83" s="1031"/>
      <c r="O83" s="1031"/>
      <c r="P83" s="1031"/>
      <c r="Q83" s="1009">
        <v>100</v>
      </c>
      <c r="R83" s="1010">
        <v>100</v>
      </c>
      <c r="T83" s="297"/>
      <c r="W83" s="293"/>
      <c r="AJ83" s="303"/>
      <c r="AK83" s="304"/>
      <c r="AL83" s="304"/>
      <c r="BX83" s="305"/>
      <c r="BY83" s="305"/>
      <c r="BZ83" s="306"/>
      <c r="CA83" s="306"/>
      <c r="CS83" s="306"/>
      <c r="DG83" s="306"/>
    </row>
    <row r="84" spans="1:20" s="299" customFormat="1" ht="15.75" customHeight="1">
      <c r="A84" s="968">
        <v>2</v>
      </c>
      <c r="B84" s="971" t="s">
        <v>769</v>
      </c>
      <c r="C84" s="980"/>
      <c r="D84" s="974">
        <f>D88+D91+D95</f>
        <v>334</v>
      </c>
      <c r="E84" s="974">
        <f>E88+E91+E95</f>
        <v>334</v>
      </c>
      <c r="F84" s="1033">
        <f t="shared" si="11"/>
        <v>304</v>
      </c>
      <c r="G84" s="974">
        <f>G88+G91+G95</f>
        <v>20</v>
      </c>
      <c r="H84" s="974">
        <f>H88+H91+H95</f>
        <v>64</v>
      </c>
      <c r="I84" s="974">
        <f>I88+I91+I95</f>
        <v>35</v>
      </c>
      <c r="J84" s="974">
        <f aca="true" t="shared" si="12" ref="J84:P84">J88+J91+J95</f>
        <v>8</v>
      </c>
      <c r="K84" s="974">
        <f>K88+K91+K95</f>
        <v>28</v>
      </c>
      <c r="L84" s="974">
        <f t="shared" si="12"/>
        <v>25</v>
      </c>
      <c r="M84" s="974">
        <f t="shared" si="12"/>
        <v>29</v>
      </c>
      <c r="N84" s="974">
        <f t="shared" si="12"/>
        <v>24</v>
      </c>
      <c r="O84" s="974">
        <f t="shared" si="12"/>
        <v>44</v>
      </c>
      <c r="P84" s="974">
        <f t="shared" si="12"/>
        <v>27</v>
      </c>
      <c r="Q84" s="977">
        <v>94.311377245509</v>
      </c>
      <c r="R84" s="977">
        <v>95.55555555555556</v>
      </c>
      <c r="T84" s="297"/>
    </row>
    <row r="85" spans="1:20" s="293" customFormat="1" ht="15.75" customHeight="1">
      <c r="A85" s="984"/>
      <c r="B85" s="994" t="s">
        <v>770</v>
      </c>
      <c r="C85" s="980" t="s">
        <v>766</v>
      </c>
      <c r="D85" s="981">
        <v>9</v>
      </c>
      <c r="E85" s="983">
        <v>9</v>
      </c>
      <c r="F85" s="1196">
        <f t="shared" si="11"/>
        <v>9</v>
      </c>
      <c r="G85" s="1031">
        <v>1</v>
      </c>
      <c r="H85" s="1031">
        <v>1</v>
      </c>
      <c r="I85" s="1031">
        <v>1</v>
      </c>
      <c r="J85" s="1031">
        <v>0</v>
      </c>
      <c r="K85" s="1031">
        <v>1</v>
      </c>
      <c r="L85" s="1031">
        <v>1</v>
      </c>
      <c r="M85" s="1031">
        <v>1</v>
      </c>
      <c r="N85" s="1031">
        <v>1</v>
      </c>
      <c r="O85" s="1031">
        <v>1</v>
      </c>
      <c r="P85" s="1031">
        <v>1</v>
      </c>
      <c r="Q85" s="1009">
        <v>100</v>
      </c>
      <c r="R85" s="1009">
        <v>100</v>
      </c>
      <c r="T85" s="297"/>
    </row>
    <row r="86" spans="1:20" s="293" customFormat="1" ht="15.75" customHeight="1">
      <c r="A86" s="1049"/>
      <c r="B86" s="994" t="s">
        <v>771</v>
      </c>
      <c r="C86" s="980" t="s">
        <v>766</v>
      </c>
      <c r="D86" s="1008">
        <f>D89+D92+D96</f>
        <v>221</v>
      </c>
      <c r="E86" s="983">
        <v>222</v>
      </c>
      <c r="F86" s="1196">
        <f t="shared" si="11"/>
        <v>225</v>
      </c>
      <c r="G86" s="1031">
        <f>G89+G92+G96</f>
        <v>18</v>
      </c>
      <c r="H86" s="1031">
        <f aca="true" t="shared" si="13" ref="H86:P86">H89+H92+H96</f>
        <v>56</v>
      </c>
      <c r="I86" s="1031">
        <f t="shared" si="13"/>
        <v>23</v>
      </c>
      <c r="J86" s="1031">
        <f t="shared" si="13"/>
        <v>8</v>
      </c>
      <c r="K86" s="1031">
        <f>K89+K92+K96</f>
        <v>22</v>
      </c>
      <c r="L86" s="1031">
        <f t="shared" si="13"/>
        <v>12</v>
      </c>
      <c r="M86" s="1031">
        <f t="shared" si="13"/>
        <v>19</v>
      </c>
      <c r="N86" s="1031">
        <f t="shared" si="13"/>
        <v>19</v>
      </c>
      <c r="O86" s="1031">
        <f t="shared" si="13"/>
        <v>35</v>
      </c>
      <c r="P86" s="1031">
        <f t="shared" si="13"/>
        <v>13</v>
      </c>
      <c r="Q86" s="1010">
        <v>102.26244343891402</v>
      </c>
      <c r="R86" s="1010">
        <v>101.32743362831857</v>
      </c>
      <c r="T86" s="297"/>
    </row>
    <row r="87" spans="1:20" s="293" customFormat="1" ht="15.75" customHeight="1">
      <c r="A87" s="991"/>
      <c r="B87" s="994" t="s">
        <v>772</v>
      </c>
      <c r="C87" s="980" t="s">
        <v>766</v>
      </c>
      <c r="D87" s="987">
        <f>D90+D93</f>
        <v>136</v>
      </c>
      <c r="E87" s="1015">
        <v>137</v>
      </c>
      <c r="F87" s="1196">
        <f t="shared" si="11"/>
        <v>128</v>
      </c>
      <c r="G87" s="1031">
        <f>G90+G93</f>
        <v>0</v>
      </c>
      <c r="H87" s="1031">
        <f aca="true" t="shared" si="14" ref="H87:P87">H90+H93</f>
        <v>7</v>
      </c>
      <c r="I87" s="1031">
        <f t="shared" si="14"/>
        <v>27</v>
      </c>
      <c r="J87" s="1031">
        <f t="shared" si="14"/>
        <v>0</v>
      </c>
      <c r="K87" s="1031">
        <f t="shared" si="14"/>
        <v>20</v>
      </c>
      <c r="L87" s="1031">
        <f t="shared" si="14"/>
        <v>23</v>
      </c>
      <c r="M87" s="1031">
        <f t="shared" si="14"/>
        <v>22</v>
      </c>
      <c r="N87" s="1031">
        <f t="shared" si="14"/>
        <v>2</v>
      </c>
      <c r="O87" s="1031">
        <f t="shared" si="14"/>
        <v>8</v>
      </c>
      <c r="P87" s="1031">
        <f t="shared" si="14"/>
        <v>19</v>
      </c>
      <c r="Q87" s="1010">
        <v>97.79411764705883</v>
      </c>
      <c r="R87" s="1010">
        <v>90.97744360902256</v>
      </c>
      <c r="T87" s="297"/>
    </row>
    <row r="88" spans="1:20" s="299" customFormat="1" ht="15.75" customHeight="1">
      <c r="A88" s="968" t="s">
        <v>715</v>
      </c>
      <c r="B88" s="971" t="s">
        <v>773</v>
      </c>
      <c r="C88" s="980" t="s">
        <v>764</v>
      </c>
      <c r="D88" s="972">
        <v>173</v>
      </c>
      <c r="E88" s="975">
        <v>173</v>
      </c>
      <c r="F88" s="1197">
        <f t="shared" si="11"/>
        <v>143</v>
      </c>
      <c r="G88" s="976">
        <v>7</v>
      </c>
      <c r="H88" s="976">
        <v>32</v>
      </c>
      <c r="I88" s="976">
        <v>17</v>
      </c>
      <c r="J88" s="976">
        <v>3</v>
      </c>
      <c r="K88" s="976">
        <v>14</v>
      </c>
      <c r="L88" s="976">
        <v>12</v>
      </c>
      <c r="M88" s="976">
        <v>11</v>
      </c>
      <c r="N88" s="976">
        <v>11</v>
      </c>
      <c r="O88" s="976">
        <v>23</v>
      </c>
      <c r="P88" s="976">
        <v>13</v>
      </c>
      <c r="Q88" s="977">
        <v>89.01734104046243</v>
      </c>
      <c r="R88" s="977">
        <v>90.9090909090909</v>
      </c>
      <c r="T88" s="297"/>
    </row>
    <row r="89" spans="1:20" s="293" customFormat="1" ht="15.75" customHeight="1">
      <c r="A89" s="984"/>
      <c r="B89" s="994" t="s">
        <v>767</v>
      </c>
      <c r="C89" s="980" t="s">
        <v>766</v>
      </c>
      <c r="D89" s="981">
        <v>114</v>
      </c>
      <c r="E89" s="983">
        <v>115</v>
      </c>
      <c r="F89" s="1196">
        <f t="shared" si="11"/>
        <v>109</v>
      </c>
      <c r="G89" s="1031">
        <v>7</v>
      </c>
      <c r="H89" s="1031">
        <v>31</v>
      </c>
      <c r="I89" s="1031">
        <v>10</v>
      </c>
      <c r="J89" s="1031">
        <v>3</v>
      </c>
      <c r="K89" s="1031">
        <v>11</v>
      </c>
      <c r="L89" s="1031">
        <v>5</v>
      </c>
      <c r="M89" s="1031">
        <v>9</v>
      </c>
      <c r="N89" s="1031">
        <v>9</v>
      </c>
      <c r="O89" s="1031">
        <v>20</v>
      </c>
      <c r="P89" s="1031">
        <v>4</v>
      </c>
      <c r="Q89" s="1010">
        <v>98.24561403508771</v>
      </c>
      <c r="R89" s="1010">
        <v>99.10714285714286</v>
      </c>
      <c r="T89" s="297"/>
    </row>
    <row r="90" spans="1:20" s="293" customFormat="1" ht="15.75" customHeight="1">
      <c r="A90" s="990"/>
      <c r="B90" s="994" t="s">
        <v>774</v>
      </c>
      <c r="C90" s="980" t="s">
        <v>766</v>
      </c>
      <c r="D90" s="981">
        <v>75</v>
      </c>
      <c r="E90" s="983">
        <v>76</v>
      </c>
      <c r="F90" s="1196">
        <f t="shared" si="11"/>
        <v>68</v>
      </c>
      <c r="G90" s="1031">
        <v>0</v>
      </c>
      <c r="H90" s="1031">
        <v>4</v>
      </c>
      <c r="I90" s="1031">
        <v>15</v>
      </c>
      <c r="J90" s="1031">
        <v>0</v>
      </c>
      <c r="K90" s="1031">
        <v>11</v>
      </c>
      <c r="L90" s="1031">
        <v>12</v>
      </c>
      <c r="M90" s="1031">
        <v>10</v>
      </c>
      <c r="N90" s="1031">
        <v>2</v>
      </c>
      <c r="O90" s="1031">
        <v>3</v>
      </c>
      <c r="P90" s="1031">
        <v>11</v>
      </c>
      <c r="Q90" s="1010">
        <v>98.66666666666667</v>
      </c>
      <c r="R90" s="1010">
        <v>85.13513513513513</v>
      </c>
      <c r="T90" s="297"/>
    </row>
    <row r="91" spans="1:20" s="299" customFormat="1" ht="15.75" customHeight="1">
      <c r="A91" s="968" t="s">
        <v>719</v>
      </c>
      <c r="B91" s="971" t="s">
        <v>775</v>
      </c>
      <c r="C91" s="980" t="s">
        <v>766</v>
      </c>
      <c r="D91" s="981">
        <v>128</v>
      </c>
      <c r="E91" s="975">
        <v>128</v>
      </c>
      <c r="F91" s="1197">
        <f t="shared" si="11"/>
        <v>128</v>
      </c>
      <c r="G91" s="976">
        <v>8</v>
      </c>
      <c r="H91" s="976">
        <v>26</v>
      </c>
      <c r="I91" s="976">
        <v>15</v>
      </c>
      <c r="J91" s="976">
        <v>4</v>
      </c>
      <c r="K91" s="976">
        <v>12</v>
      </c>
      <c r="L91" s="976">
        <v>11</v>
      </c>
      <c r="M91" s="976">
        <v>15</v>
      </c>
      <c r="N91" s="976">
        <v>10</v>
      </c>
      <c r="O91" s="976">
        <v>17</v>
      </c>
      <c r="P91" s="976">
        <v>10</v>
      </c>
      <c r="Q91" s="977">
        <v>100</v>
      </c>
      <c r="R91" s="961">
        <v>100</v>
      </c>
      <c r="T91" s="297"/>
    </row>
    <row r="92" spans="1:20" s="293" customFormat="1" ht="15.75" customHeight="1">
      <c r="A92" s="984"/>
      <c r="B92" s="994" t="s">
        <v>1041</v>
      </c>
      <c r="C92" s="980" t="s">
        <v>766</v>
      </c>
      <c r="D92" s="981">
        <v>89</v>
      </c>
      <c r="E92" s="983">
        <v>89</v>
      </c>
      <c r="F92" s="1196">
        <f t="shared" si="11"/>
        <v>95</v>
      </c>
      <c r="G92" s="1031">
        <v>6</v>
      </c>
      <c r="H92" s="1031">
        <v>20</v>
      </c>
      <c r="I92" s="1031">
        <v>12</v>
      </c>
      <c r="J92" s="1031">
        <v>4</v>
      </c>
      <c r="K92" s="1031">
        <v>9</v>
      </c>
      <c r="L92" s="1031">
        <v>6</v>
      </c>
      <c r="M92" s="1031">
        <v>10</v>
      </c>
      <c r="N92" s="1031">
        <v>8</v>
      </c>
      <c r="O92" s="1031">
        <v>13</v>
      </c>
      <c r="P92" s="1031">
        <v>7</v>
      </c>
      <c r="Q92" s="1009">
        <v>105.61797752808988</v>
      </c>
      <c r="R92" s="1010">
        <v>103.19148936170212</v>
      </c>
      <c r="T92" s="297"/>
    </row>
    <row r="93" spans="1:21" s="293" customFormat="1" ht="15.75" customHeight="1">
      <c r="A93" s="1046"/>
      <c r="B93" s="994" t="s">
        <v>1042</v>
      </c>
      <c r="C93" s="980" t="s">
        <v>766</v>
      </c>
      <c r="D93" s="981">
        <v>61</v>
      </c>
      <c r="E93" s="983">
        <v>61</v>
      </c>
      <c r="F93" s="1196">
        <f t="shared" si="11"/>
        <v>60</v>
      </c>
      <c r="G93" s="1031">
        <v>0</v>
      </c>
      <c r="H93" s="1031">
        <v>3</v>
      </c>
      <c r="I93" s="1031">
        <v>12</v>
      </c>
      <c r="J93" s="1031">
        <v>0</v>
      </c>
      <c r="K93" s="1031">
        <v>9</v>
      </c>
      <c r="L93" s="1031">
        <v>11</v>
      </c>
      <c r="M93" s="1031">
        <v>12</v>
      </c>
      <c r="N93" s="1031">
        <v>0</v>
      </c>
      <c r="O93" s="1031">
        <v>5</v>
      </c>
      <c r="P93" s="1031">
        <v>8</v>
      </c>
      <c r="Q93" s="1010">
        <v>96.72131147540983</v>
      </c>
      <c r="R93" s="1010">
        <v>98.30508474576271</v>
      </c>
      <c r="T93" s="297"/>
      <c r="U93" s="293">
        <f>162-153</f>
        <v>9</v>
      </c>
    </row>
    <row r="94" spans="1:20" s="293" customFormat="1" ht="15.75" customHeight="1">
      <c r="A94" s="1050"/>
      <c r="B94" s="1051" t="s">
        <v>1043</v>
      </c>
      <c r="C94" s="998"/>
      <c r="D94" s="981">
        <v>1</v>
      </c>
      <c r="E94" s="983">
        <v>1</v>
      </c>
      <c r="F94" s="1196">
        <f t="shared" si="11"/>
        <v>1</v>
      </c>
      <c r="G94" s="1031">
        <v>0</v>
      </c>
      <c r="H94" s="1031">
        <v>1</v>
      </c>
      <c r="I94" s="1031"/>
      <c r="J94" s="1031"/>
      <c r="K94" s="1031"/>
      <c r="L94" s="1031"/>
      <c r="M94" s="1031"/>
      <c r="N94" s="1031"/>
      <c r="O94" s="1031"/>
      <c r="P94" s="1031"/>
      <c r="Q94" s="1009">
        <v>100</v>
      </c>
      <c r="R94" s="1010">
        <v>100</v>
      </c>
      <c r="T94" s="297"/>
    </row>
    <row r="95" spans="1:20" s="293" customFormat="1" ht="15.75" customHeight="1">
      <c r="A95" s="1023" t="s">
        <v>721</v>
      </c>
      <c r="B95" s="997" t="s">
        <v>776</v>
      </c>
      <c r="C95" s="998" t="s">
        <v>766</v>
      </c>
      <c r="D95" s="972">
        <v>33</v>
      </c>
      <c r="E95" s="975">
        <v>33</v>
      </c>
      <c r="F95" s="1197">
        <f t="shared" si="11"/>
        <v>33</v>
      </c>
      <c r="G95" s="976">
        <v>5</v>
      </c>
      <c r="H95" s="976">
        <v>6</v>
      </c>
      <c r="I95" s="976">
        <v>3</v>
      </c>
      <c r="J95" s="976">
        <v>1</v>
      </c>
      <c r="K95" s="976">
        <v>2</v>
      </c>
      <c r="L95" s="976">
        <v>2</v>
      </c>
      <c r="M95" s="976">
        <v>3</v>
      </c>
      <c r="N95" s="976">
        <v>3</v>
      </c>
      <c r="O95" s="976">
        <v>4</v>
      </c>
      <c r="P95" s="976">
        <v>4</v>
      </c>
      <c r="Q95" s="961">
        <v>100</v>
      </c>
      <c r="R95" s="961">
        <v>100</v>
      </c>
      <c r="T95" s="297"/>
    </row>
    <row r="96" spans="1:20" s="293" customFormat="1" ht="15.75" customHeight="1">
      <c r="A96" s="998"/>
      <c r="B96" s="1052" t="s">
        <v>777</v>
      </c>
      <c r="C96" s="998" t="s">
        <v>766</v>
      </c>
      <c r="D96" s="981">
        <v>18</v>
      </c>
      <c r="E96" s="983">
        <v>20</v>
      </c>
      <c r="F96" s="1196">
        <f t="shared" si="11"/>
        <v>21</v>
      </c>
      <c r="G96" s="1031">
        <v>5</v>
      </c>
      <c r="H96" s="1031">
        <v>5</v>
      </c>
      <c r="I96" s="1031">
        <v>1</v>
      </c>
      <c r="J96" s="1031">
        <v>1</v>
      </c>
      <c r="K96" s="1031">
        <v>2</v>
      </c>
      <c r="L96" s="1031">
        <v>1</v>
      </c>
      <c r="M96" s="1031">
        <v>0</v>
      </c>
      <c r="N96" s="1031">
        <v>2</v>
      </c>
      <c r="O96" s="1031">
        <v>2</v>
      </c>
      <c r="P96" s="1031">
        <v>2</v>
      </c>
      <c r="Q96" s="1009">
        <v>111.11111111111111</v>
      </c>
      <c r="R96" s="1010">
        <v>105</v>
      </c>
      <c r="T96" s="297"/>
    </row>
    <row r="97" spans="1:20" s="299" customFormat="1" ht="15.75" customHeight="1">
      <c r="A97" s="1023">
        <v>3</v>
      </c>
      <c r="B97" s="997" t="s">
        <v>1044</v>
      </c>
      <c r="C97" s="1023" t="s">
        <v>778</v>
      </c>
      <c r="D97" s="972">
        <v>1</v>
      </c>
      <c r="E97" s="975">
        <v>1</v>
      </c>
      <c r="F97" s="1197">
        <f t="shared" si="11"/>
        <v>1</v>
      </c>
      <c r="G97" s="976">
        <v>1</v>
      </c>
      <c r="H97" s="976"/>
      <c r="I97" s="976"/>
      <c r="J97" s="976"/>
      <c r="K97" s="976"/>
      <c r="L97" s="976"/>
      <c r="M97" s="976"/>
      <c r="N97" s="976"/>
      <c r="O97" s="976"/>
      <c r="P97" s="976"/>
      <c r="Q97" s="961">
        <v>100</v>
      </c>
      <c r="R97" s="961">
        <v>100</v>
      </c>
      <c r="T97" s="1066"/>
    </row>
    <row r="98" spans="1:20" s="299" customFormat="1" ht="15.75" customHeight="1">
      <c r="A98" s="1023">
        <v>4</v>
      </c>
      <c r="B98" s="997" t="s">
        <v>1045</v>
      </c>
      <c r="C98" s="1023" t="s">
        <v>766</v>
      </c>
      <c r="D98" s="970">
        <v>1</v>
      </c>
      <c r="E98" s="975">
        <v>1</v>
      </c>
      <c r="F98" s="1197">
        <f>SUM(G98:P98)</f>
        <v>0</v>
      </c>
      <c r="G98" s="976"/>
      <c r="H98" s="976"/>
      <c r="I98" s="976"/>
      <c r="J98" s="976"/>
      <c r="K98" s="976"/>
      <c r="L98" s="976"/>
      <c r="M98" s="976"/>
      <c r="N98" s="976"/>
      <c r="O98" s="976"/>
      <c r="P98" s="976"/>
      <c r="Q98" s="961">
        <v>100</v>
      </c>
      <c r="R98" s="977">
        <v>100</v>
      </c>
      <c r="T98" s="1066"/>
    </row>
    <row r="99" spans="1:20" s="299" customFormat="1" ht="15.75" customHeight="1">
      <c r="A99" s="968">
        <v>5</v>
      </c>
      <c r="B99" s="971" t="s">
        <v>1046</v>
      </c>
      <c r="C99" s="968" t="s">
        <v>766</v>
      </c>
      <c r="D99" s="972">
        <v>1</v>
      </c>
      <c r="E99" s="975">
        <v>1</v>
      </c>
      <c r="F99" s="1197">
        <f>SUM(G99:P99)</f>
        <v>1</v>
      </c>
      <c r="G99" s="976">
        <v>1</v>
      </c>
      <c r="H99" s="976"/>
      <c r="I99" s="976"/>
      <c r="J99" s="976"/>
      <c r="K99" s="976"/>
      <c r="L99" s="976"/>
      <c r="M99" s="976"/>
      <c r="N99" s="976"/>
      <c r="O99" s="976"/>
      <c r="P99" s="976"/>
      <c r="Q99" s="961">
        <v>100</v>
      </c>
      <c r="R99" s="961">
        <v>100</v>
      </c>
      <c r="T99" s="1066"/>
    </row>
    <row r="100" spans="1:111" s="307" customFormat="1" ht="15.75" customHeight="1">
      <c r="A100" s="968">
        <v>6</v>
      </c>
      <c r="B100" s="971" t="s">
        <v>1342</v>
      </c>
      <c r="C100" s="968" t="s">
        <v>766</v>
      </c>
      <c r="D100" s="965">
        <v>4</v>
      </c>
      <c r="E100" s="975">
        <v>4</v>
      </c>
      <c r="F100" s="1197">
        <f>SUM(G100:P100)</f>
        <v>4</v>
      </c>
      <c r="G100" s="976">
        <v>4</v>
      </c>
      <c r="H100" s="976"/>
      <c r="I100" s="976"/>
      <c r="J100" s="976"/>
      <c r="K100" s="976"/>
      <c r="L100" s="976"/>
      <c r="M100" s="976"/>
      <c r="N100" s="976"/>
      <c r="O100" s="976"/>
      <c r="P100" s="976"/>
      <c r="Q100" s="961">
        <v>100</v>
      </c>
      <c r="R100" s="961">
        <v>100</v>
      </c>
      <c r="T100" s="1066"/>
      <c r="AJ100" s="308"/>
      <c r="AK100" s="309"/>
      <c r="AL100" s="309"/>
      <c r="BX100" s="310">
        <f>E100/D100-1</f>
        <v>0</v>
      </c>
      <c r="BY100" s="310"/>
      <c r="BZ100" s="311">
        <f>E100-D100</f>
        <v>0</v>
      </c>
      <c r="CA100" s="311"/>
      <c r="CS100" s="311"/>
      <c r="DG100" s="311"/>
    </row>
    <row r="101" spans="1:20" s="299" customFormat="1" ht="15.75" customHeight="1">
      <c r="A101" s="1053">
        <v>7</v>
      </c>
      <c r="B101" s="1054" t="s">
        <v>1047</v>
      </c>
      <c r="C101" s="1053" t="s">
        <v>766</v>
      </c>
      <c r="D101" s="1055">
        <v>9</v>
      </c>
      <c r="E101" s="1055">
        <v>9</v>
      </c>
      <c r="F101" s="1197">
        <f>SUM(G101:P101)</f>
        <v>9</v>
      </c>
      <c r="G101" s="976">
        <v>0</v>
      </c>
      <c r="H101" s="976">
        <v>1</v>
      </c>
      <c r="I101" s="976">
        <v>1</v>
      </c>
      <c r="J101" s="976">
        <v>1</v>
      </c>
      <c r="K101" s="976">
        <v>1</v>
      </c>
      <c r="L101" s="976">
        <v>1</v>
      </c>
      <c r="M101" s="976">
        <v>1</v>
      </c>
      <c r="N101" s="976">
        <v>1</v>
      </c>
      <c r="O101" s="976">
        <v>1</v>
      </c>
      <c r="P101" s="976">
        <v>1</v>
      </c>
      <c r="Q101" s="961">
        <v>100</v>
      </c>
      <c r="R101" s="961">
        <v>100</v>
      </c>
      <c r="T101" s="1066"/>
    </row>
    <row r="102" spans="1:20" s="299" customFormat="1" ht="27" customHeight="1">
      <c r="A102" s="1056" t="s">
        <v>809</v>
      </c>
      <c r="B102" s="997" t="s">
        <v>1048</v>
      </c>
      <c r="C102" s="1054"/>
      <c r="D102" s="1059">
        <v>1</v>
      </c>
      <c r="E102" s="1059">
        <v>1</v>
      </c>
      <c r="F102" s="1197">
        <f>SUM(G102:P102)</f>
        <v>1</v>
      </c>
      <c r="G102" s="1059">
        <v>1</v>
      </c>
      <c r="H102" s="976"/>
      <c r="I102" s="976"/>
      <c r="J102" s="976"/>
      <c r="K102" s="976"/>
      <c r="L102" s="976"/>
      <c r="M102" s="976"/>
      <c r="N102" s="976"/>
      <c r="O102" s="976"/>
      <c r="P102" s="976"/>
      <c r="Q102" s="961">
        <v>100</v>
      </c>
      <c r="R102" s="961">
        <v>100</v>
      </c>
      <c r="T102" s="1066"/>
    </row>
    <row r="103" spans="1:20" s="293" customFormat="1" ht="28.5" customHeight="1">
      <c r="A103" s="1056" t="s">
        <v>1049</v>
      </c>
      <c r="B103" s="1060" t="s">
        <v>1063</v>
      </c>
      <c r="C103" s="1057"/>
      <c r="D103" s="1058"/>
      <c r="E103" s="1059"/>
      <c r="F103" s="1197"/>
      <c r="G103" s="1059"/>
      <c r="H103" s="976"/>
      <c r="I103" s="976"/>
      <c r="J103" s="976"/>
      <c r="K103" s="976"/>
      <c r="L103" s="976"/>
      <c r="M103" s="976"/>
      <c r="N103" s="976"/>
      <c r="O103" s="976"/>
      <c r="P103" s="976"/>
      <c r="Q103" s="961"/>
      <c r="R103" s="961"/>
      <c r="T103" s="297"/>
    </row>
    <row r="104" spans="1:18" s="293" customFormat="1" ht="38.25">
      <c r="A104" s="991">
        <v>1</v>
      </c>
      <c r="B104" s="985" t="s">
        <v>1054</v>
      </c>
      <c r="C104" s="998" t="s">
        <v>185</v>
      </c>
      <c r="D104" s="1061">
        <v>2773</v>
      </c>
      <c r="E104" s="1040">
        <v>3002</v>
      </c>
      <c r="F104" s="1196">
        <f aca="true" t="shared" si="15" ref="F104:F109">SUM(G104:P104)</f>
        <v>3301</v>
      </c>
      <c r="G104" s="1040">
        <v>102</v>
      </c>
      <c r="H104" s="1040">
        <v>850</v>
      </c>
      <c r="I104" s="1040">
        <v>550</v>
      </c>
      <c r="J104" s="1040">
        <v>5</v>
      </c>
      <c r="K104" s="1040">
        <v>463</v>
      </c>
      <c r="L104" s="1040">
        <v>480</v>
      </c>
      <c r="M104" s="1040">
        <v>471</v>
      </c>
      <c r="N104" s="1040">
        <v>150</v>
      </c>
      <c r="O104" s="1040">
        <v>210</v>
      </c>
      <c r="P104" s="1040">
        <v>20</v>
      </c>
      <c r="Q104" s="1009">
        <v>108.25820411107104</v>
      </c>
      <c r="R104" s="1009">
        <v>104.96335776149235</v>
      </c>
    </row>
    <row r="105" spans="1:18" s="293" customFormat="1" ht="25.5">
      <c r="A105" s="991">
        <v>2</v>
      </c>
      <c r="B105" s="985" t="s">
        <v>1055</v>
      </c>
      <c r="C105" s="998" t="s">
        <v>185</v>
      </c>
      <c r="D105" s="1061">
        <v>190</v>
      </c>
      <c r="E105" s="1040">
        <v>257</v>
      </c>
      <c r="F105" s="1196">
        <f t="shared" si="15"/>
        <v>287</v>
      </c>
      <c r="G105" s="1040">
        <v>30</v>
      </c>
      <c r="H105" s="1040">
        <v>70</v>
      </c>
      <c r="I105" s="1040">
        <v>41</v>
      </c>
      <c r="J105" s="1040">
        <v>5</v>
      </c>
      <c r="K105" s="1040">
        <v>15</v>
      </c>
      <c r="L105" s="1040">
        <v>21</v>
      </c>
      <c r="M105" s="1040">
        <v>48</v>
      </c>
      <c r="N105" s="1040">
        <v>22</v>
      </c>
      <c r="O105" s="1040">
        <v>30</v>
      </c>
      <c r="P105" s="1040">
        <v>5</v>
      </c>
      <c r="Q105" s="1010">
        <v>135.26315789473685</v>
      </c>
      <c r="R105" s="1010">
        <v>110.50583657587549</v>
      </c>
    </row>
    <row r="106" spans="1:20" s="293" customFormat="1" ht="25.5">
      <c r="A106" s="991">
        <v>3</v>
      </c>
      <c r="B106" s="985" t="s">
        <v>1056</v>
      </c>
      <c r="C106" s="998" t="s">
        <v>1057</v>
      </c>
      <c r="D106" s="1061">
        <v>812</v>
      </c>
      <c r="E106" s="1040">
        <v>831</v>
      </c>
      <c r="F106" s="1196">
        <f t="shared" si="15"/>
        <v>833</v>
      </c>
      <c r="G106" s="1040">
        <v>10</v>
      </c>
      <c r="H106" s="1040">
        <v>116</v>
      </c>
      <c r="I106" s="1040">
        <v>160</v>
      </c>
      <c r="J106" s="1040">
        <v>8</v>
      </c>
      <c r="K106" s="1040">
        <v>131</v>
      </c>
      <c r="L106" s="1040">
        <v>105</v>
      </c>
      <c r="M106" s="1040">
        <v>129</v>
      </c>
      <c r="N106" s="1040">
        <v>55</v>
      </c>
      <c r="O106" s="1040">
        <v>93</v>
      </c>
      <c r="P106" s="1040">
        <v>26</v>
      </c>
      <c r="Q106" s="1010">
        <v>102.33990147783251</v>
      </c>
      <c r="R106" s="1010">
        <v>100.24067388688327</v>
      </c>
      <c r="T106" s="297"/>
    </row>
    <row r="107" spans="1:18" s="293" customFormat="1" ht="25.5">
      <c r="A107" s="991">
        <v>4</v>
      </c>
      <c r="B107" s="985" t="s">
        <v>1058</v>
      </c>
      <c r="C107" s="998" t="s">
        <v>1057</v>
      </c>
      <c r="D107" s="1061">
        <v>797</v>
      </c>
      <c r="E107" s="1040">
        <v>813</v>
      </c>
      <c r="F107" s="1196">
        <f t="shared" si="15"/>
        <v>829</v>
      </c>
      <c r="G107" s="1040">
        <v>10</v>
      </c>
      <c r="H107" s="1040">
        <v>116</v>
      </c>
      <c r="I107" s="1040">
        <v>160</v>
      </c>
      <c r="J107" s="1040">
        <v>8</v>
      </c>
      <c r="K107" s="1040">
        <v>131</v>
      </c>
      <c r="L107" s="1040">
        <v>105</v>
      </c>
      <c r="M107" s="1040">
        <v>129</v>
      </c>
      <c r="N107" s="1040">
        <v>55</v>
      </c>
      <c r="O107" s="1040">
        <v>93</v>
      </c>
      <c r="P107" s="1040">
        <v>22</v>
      </c>
      <c r="Q107" s="1010">
        <v>102.00752823086574</v>
      </c>
      <c r="R107" s="1010">
        <v>100.61500615006149</v>
      </c>
    </row>
    <row r="108" spans="1:18" s="293" customFormat="1" ht="25.5">
      <c r="A108" s="991">
        <v>5</v>
      </c>
      <c r="B108" s="985" t="s">
        <v>1059</v>
      </c>
      <c r="C108" s="998" t="s">
        <v>1057</v>
      </c>
      <c r="D108" s="1061">
        <v>1928</v>
      </c>
      <c r="E108" s="1040">
        <v>2106</v>
      </c>
      <c r="F108" s="1196">
        <f t="shared" si="15"/>
        <v>2195</v>
      </c>
      <c r="G108" s="1040">
        <v>165</v>
      </c>
      <c r="H108" s="1040">
        <v>396</v>
      </c>
      <c r="I108" s="1040">
        <v>329</v>
      </c>
      <c r="J108" s="1040">
        <v>43</v>
      </c>
      <c r="K108" s="1040">
        <v>269</v>
      </c>
      <c r="L108" s="1040">
        <v>201</v>
      </c>
      <c r="M108" s="1040">
        <v>293</v>
      </c>
      <c r="N108" s="1040">
        <v>183</v>
      </c>
      <c r="O108" s="1040">
        <v>273</v>
      </c>
      <c r="P108" s="1040">
        <v>43</v>
      </c>
      <c r="Q108" s="1010">
        <v>109.2323651452282</v>
      </c>
      <c r="R108" s="1010">
        <v>103.7037037037037</v>
      </c>
    </row>
    <row r="109" spans="1:18" s="293" customFormat="1" ht="33.75" customHeight="1">
      <c r="A109" s="991">
        <v>6</v>
      </c>
      <c r="B109" s="985" t="s">
        <v>1060</v>
      </c>
      <c r="C109" s="998" t="s">
        <v>1057</v>
      </c>
      <c r="D109" s="1061">
        <v>461</v>
      </c>
      <c r="E109" s="1040">
        <v>464</v>
      </c>
      <c r="F109" s="1196">
        <f t="shared" si="15"/>
        <v>551</v>
      </c>
      <c r="G109" s="1040">
        <v>10</v>
      </c>
      <c r="H109" s="1040">
        <v>116</v>
      </c>
      <c r="I109" s="1040">
        <v>160</v>
      </c>
      <c r="J109" s="1040">
        <v>8</v>
      </c>
      <c r="K109" s="1040">
        <v>131</v>
      </c>
      <c r="L109" s="1040">
        <v>20</v>
      </c>
      <c r="M109" s="1040">
        <v>16</v>
      </c>
      <c r="N109" s="1040">
        <v>13</v>
      </c>
      <c r="O109" s="1040">
        <v>52</v>
      </c>
      <c r="P109" s="1040">
        <v>25</v>
      </c>
      <c r="Q109" s="1010">
        <v>100.65075921908895</v>
      </c>
      <c r="R109" s="1010">
        <v>113.36206896551724</v>
      </c>
    </row>
    <row r="110" spans="1:18" s="299" customFormat="1" ht="25.5">
      <c r="A110" s="1004" t="s">
        <v>145</v>
      </c>
      <c r="B110" s="1062" t="s">
        <v>1102</v>
      </c>
      <c r="C110" s="1023"/>
      <c r="D110" s="1040"/>
      <c r="E110" s="1063"/>
      <c r="F110" s="1063"/>
      <c r="G110" s="1063"/>
      <c r="H110" s="1063"/>
      <c r="I110" s="1063"/>
      <c r="J110" s="1063"/>
      <c r="K110" s="1063"/>
      <c r="L110" s="1063"/>
      <c r="M110" s="1063"/>
      <c r="N110" s="1063"/>
      <c r="O110" s="1063"/>
      <c r="P110" s="1063"/>
      <c r="Q110" s="1010"/>
      <c r="R110" s="1010"/>
    </row>
    <row r="111" spans="1:18" s="293" customFormat="1" ht="25.5">
      <c r="A111" s="991">
        <v>1</v>
      </c>
      <c r="B111" s="985" t="s">
        <v>1103</v>
      </c>
      <c r="C111" s="998" t="s">
        <v>19</v>
      </c>
      <c r="D111" s="1064">
        <v>89.497</v>
      </c>
      <c r="E111" s="1065">
        <v>89.51</v>
      </c>
      <c r="F111" s="1065">
        <f>SUM(G111:P111)/10</f>
        <v>89.57</v>
      </c>
      <c r="G111" s="1040">
        <v>99.9</v>
      </c>
      <c r="H111" s="1040">
        <v>98</v>
      </c>
      <c r="I111" s="1040">
        <v>100</v>
      </c>
      <c r="J111" s="1040">
        <v>99.6</v>
      </c>
      <c r="K111" s="1040">
        <v>99.9</v>
      </c>
      <c r="L111" s="1040">
        <v>100</v>
      </c>
      <c r="M111" s="1040" t="s">
        <v>1343</v>
      </c>
      <c r="N111" s="1040">
        <v>99.5</v>
      </c>
      <c r="O111" s="1040">
        <v>99.8</v>
      </c>
      <c r="P111" s="1065">
        <v>99</v>
      </c>
      <c r="Q111" s="1010">
        <v>100.01452562655733</v>
      </c>
      <c r="R111" s="1010">
        <v>100.06703161657914</v>
      </c>
    </row>
    <row r="112" spans="1:18" s="293" customFormat="1" ht="25.5">
      <c r="A112" s="991">
        <v>2</v>
      </c>
      <c r="B112" s="985" t="s">
        <v>1104</v>
      </c>
      <c r="C112" s="998" t="s">
        <v>766</v>
      </c>
      <c r="D112" s="1064">
        <v>89.58988346686088</v>
      </c>
      <c r="E112" s="1065">
        <v>89.62</v>
      </c>
      <c r="F112" s="1065">
        <f>SUM(G112:P112)/10</f>
        <v>89.67999999999999</v>
      </c>
      <c r="G112" s="1040">
        <v>100</v>
      </c>
      <c r="H112" s="1040">
        <v>98.5</v>
      </c>
      <c r="I112" s="1040">
        <v>100</v>
      </c>
      <c r="J112" s="1040">
        <v>99.1</v>
      </c>
      <c r="K112" s="1040">
        <v>99.9</v>
      </c>
      <c r="L112" s="1040">
        <v>100</v>
      </c>
      <c r="M112" s="1040">
        <v>100</v>
      </c>
      <c r="N112" s="1040">
        <v>100</v>
      </c>
      <c r="O112" s="1040" t="s">
        <v>1344</v>
      </c>
      <c r="P112" s="1065">
        <v>99.3</v>
      </c>
      <c r="Q112" s="1010">
        <v>100.03361599767038</v>
      </c>
      <c r="R112" s="1010">
        <v>100.03347467083242</v>
      </c>
    </row>
    <row r="113" spans="1:18" s="293" customFormat="1" ht="25.5">
      <c r="A113" s="991">
        <v>3</v>
      </c>
      <c r="B113" s="985" t="s">
        <v>1105</v>
      </c>
      <c r="C113" s="998" t="s">
        <v>766</v>
      </c>
      <c r="D113" s="1064">
        <v>82.276</v>
      </c>
      <c r="E113" s="1065">
        <v>83.21000000000001</v>
      </c>
      <c r="F113" s="1065">
        <f>SUM(G113:P113)/10</f>
        <v>85.79599999999999</v>
      </c>
      <c r="G113" s="1040">
        <v>99.5</v>
      </c>
      <c r="H113" s="1040">
        <v>98.7</v>
      </c>
      <c r="I113" s="1040">
        <v>91.46</v>
      </c>
      <c r="J113" s="1040">
        <v>98.1</v>
      </c>
      <c r="K113" s="1040">
        <v>97</v>
      </c>
      <c r="L113" s="1040">
        <v>92.8</v>
      </c>
      <c r="M113" s="1040" t="s">
        <v>1345</v>
      </c>
      <c r="N113" s="1040">
        <v>97</v>
      </c>
      <c r="O113" s="1040">
        <v>93.4</v>
      </c>
      <c r="P113" s="1065">
        <v>90</v>
      </c>
      <c r="Q113" s="1010">
        <v>101.13520346151978</v>
      </c>
      <c r="R113" s="1010">
        <v>102.74726595361132</v>
      </c>
    </row>
    <row r="114" spans="1:18" s="293" customFormat="1" ht="25.5">
      <c r="A114" s="991">
        <v>4</v>
      </c>
      <c r="B114" s="985" t="s">
        <v>1106</v>
      </c>
      <c r="C114" s="998" t="s">
        <v>766</v>
      </c>
      <c r="D114" s="1064">
        <v>74.14099999999999</v>
      </c>
      <c r="E114" s="1065">
        <v>76.22</v>
      </c>
      <c r="F114" s="1065">
        <f>SUM(G114:P114)/10</f>
        <v>87.45700000000001</v>
      </c>
      <c r="G114" s="1040">
        <v>99.5</v>
      </c>
      <c r="H114" s="1040">
        <v>98.6</v>
      </c>
      <c r="I114" s="1040">
        <v>88.1</v>
      </c>
      <c r="J114" s="1040">
        <v>91.5</v>
      </c>
      <c r="K114" s="1040">
        <v>96</v>
      </c>
      <c r="L114" s="1040">
        <v>76</v>
      </c>
      <c r="M114" s="1040">
        <v>60.77</v>
      </c>
      <c r="N114" s="1040">
        <v>88</v>
      </c>
      <c r="O114" s="1040">
        <v>91.1</v>
      </c>
      <c r="P114" s="1065">
        <v>85</v>
      </c>
      <c r="Q114" s="1010">
        <v>102.80411648075965</v>
      </c>
      <c r="R114" s="1010">
        <v>116.05484124901602</v>
      </c>
    </row>
    <row r="115" spans="1:18" s="293" customFormat="1" ht="30.75" customHeight="1">
      <c r="A115" s="991">
        <v>5</v>
      </c>
      <c r="B115" s="985" t="s">
        <v>1107</v>
      </c>
      <c r="C115" s="998" t="s">
        <v>766</v>
      </c>
      <c r="D115" s="1064">
        <v>38.026</v>
      </c>
      <c r="E115" s="1065">
        <v>38.261</v>
      </c>
      <c r="F115" s="1065">
        <f>SUM(G115:P115)/10</f>
        <v>38.86</v>
      </c>
      <c r="G115" s="1040">
        <v>11.7</v>
      </c>
      <c r="H115" s="1040">
        <v>47.8</v>
      </c>
      <c r="I115" s="1040">
        <v>50</v>
      </c>
      <c r="J115" s="1040">
        <v>46</v>
      </c>
      <c r="K115" s="1040">
        <v>45.8</v>
      </c>
      <c r="L115" s="1040">
        <v>48.7</v>
      </c>
      <c r="M115" s="1040" t="s">
        <v>1346</v>
      </c>
      <c r="N115" s="1040">
        <v>45.5</v>
      </c>
      <c r="O115" s="1040">
        <v>45.1</v>
      </c>
      <c r="P115" s="1065">
        <v>48</v>
      </c>
      <c r="Q115" s="1010">
        <v>100.61799821174986</v>
      </c>
      <c r="R115" s="1010">
        <v>100.78147460860929</v>
      </c>
    </row>
    <row r="116" spans="1:20" s="224" customFormat="1" ht="27" customHeight="1">
      <c r="A116" s="270"/>
      <c r="B116" s="271"/>
      <c r="D116" s="272"/>
      <c r="E116" s="272"/>
      <c r="F116" s="1198"/>
      <c r="G116" s="272"/>
      <c r="H116" s="273"/>
      <c r="I116" s="273"/>
      <c r="J116" s="273"/>
      <c r="K116" s="273"/>
      <c r="L116" s="273"/>
      <c r="M116" s="273"/>
      <c r="N116" s="273"/>
      <c r="O116" s="273"/>
      <c r="P116" s="273"/>
      <c r="Q116" s="274"/>
      <c r="R116" s="275"/>
      <c r="T116" s="269"/>
    </row>
    <row r="117" spans="1:20" s="224" customFormat="1" ht="27" customHeight="1">
      <c r="A117" s="270"/>
      <c r="B117" s="271"/>
      <c r="D117" s="272"/>
      <c r="E117" s="272"/>
      <c r="F117" s="1198"/>
      <c r="G117" s="272"/>
      <c r="H117" s="273"/>
      <c r="I117" s="273"/>
      <c r="J117" s="273"/>
      <c r="K117" s="273"/>
      <c r="L117" s="273"/>
      <c r="M117" s="273"/>
      <c r="N117" s="273"/>
      <c r="O117" s="273"/>
      <c r="P117" s="273"/>
      <c r="Q117" s="274"/>
      <c r="R117" s="275"/>
      <c r="T117" s="269"/>
    </row>
    <row r="118" spans="1:20" s="224" customFormat="1" ht="27" customHeight="1">
      <c r="A118" s="270"/>
      <c r="B118" s="271"/>
      <c r="D118" s="272"/>
      <c r="E118" s="272"/>
      <c r="F118" s="1198"/>
      <c r="G118" s="272"/>
      <c r="H118" s="273"/>
      <c r="I118" s="273"/>
      <c r="J118" s="273"/>
      <c r="K118" s="273"/>
      <c r="L118" s="273"/>
      <c r="M118" s="273"/>
      <c r="N118" s="273"/>
      <c r="O118" s="273"/>
      <c r="P118" s="273"/>
      <c r="Q118" s="274"/>
      <c r="R118" s="275"/>
      <c r="T118" s="269"/>
    </row>
    <row r="119" spans="1:16" ht="15.75">
      <c r="A119" s="223"/>
      <c r="D119" s="276"/>
      <c r="F119" s="1199"/>
      <c r="G119" s="229"/>
      <c r="H119" s="229"/>
      <c r="I119" s="229"/>
      <c r="J119" s="229"/>
      <c r="K119" s="229"/>
      <c r="L119" s="229"/>
      <c r="M119" s="229"/>
      <c r="N119" s="229"/>
      <c r="O119" s="229"/>
      <c r="P119" s="229"/>
    </row>
    <row r="120" spans="1:16" ht="15.75">
      <c r="A120" s="223"/>
      <c r="F120" s="1200"/>
      <c r="G120" s="230"/>
      <c r="H120" s="231"/>
      <c r="I120" s="231"/>
      <c r="J120" s="231"/>
      <c r="K120" s="231"/>
      <c r="L120" s="231"/>
      <c r="M120" s="231"/>
      <c r="N120" s="231"/>
      <c r="O120" s="231"/>
      <c r="P120" s="231"/>
    </row>
    <row r="121" ht="15.75">
      <c r="A121" s="223"/>
    </row>
  </sheetData>
  <sheetProtection/>
  <mergeCells count="10">
    <mergeCell ref="A2:R2"/>
    <mergeCell ref="A3:R3"/>
    <mergeCell ref="A5:A6"/>
    <mergeCell ref="B5:B6"/>
    <mergeCell ref="C5:C6"/>
    <mergeCell ref="D5:D6"/>
    <mergeCell ref="E5:E6"/>
    <mergeCell ref="F5:F6"/>
    <mergeCell ref="G5:P5"/>
    <mergeCell ref="Q5:R5"/>
  </mergeCells>
  <printOptions/>
  <pageMargins left="0.35433070866141736" right="0" top="0.4724409448818898" bottom="0.35433070866141736" header="0.31496062992125984" footer="0.1968503937007874"/>
  <pageSetup horizontalDpi="600" verticalDpi="600" orientation="landscape" paperSize="9" scale="85" r:id="rId1"/>
  <headerFooter>
    <oddFooter>&amp;R&amp;P/&amp;N</oddFooter>
  </headerFooter>
</worksheet>
</file>

<file path=xl/worksheets/sheet9.xml><?xml version="1.0" encoding="utf-8"?>
<worksheet xmlns="http://schemas.openxmlformats.org/spreadsheetml/2006/main" xmlns:r="http://schemas.openxmlformats.org/officeDocument/2006/relationships">
  <sheetPr>
    <tabColor rgb="FFFF0000"/>
  </sheetPr>
  <dimension ref="A1:U141"/>
  <sheetViews>
    <sheetView view="pageBreakPreview" zoomScaleSheetLayoutView="100" zoomScalePageLayoutView="0" workbookViewId="0" topLeftCell="A1">
      <pane xSplit="2" ySplit="6" topLeftCell="C75" activePane="bottomRight" state="frozen"/>
      <selection pane="topLeft" activeCell="O21" sqref="O21"/>
      <selection pane="topRight" activeCell="O21" sqref="O21"/>
      <selection pane="bottomLeft" activeCell="O21" sqref="O21"/>
      <selection pane="bottomRight" activeCell="G75" sqref="G75"/>
    </sheetView>
  </sheetViews>
  <sheetFormatPr defaultColWidth="9.00390625" defaultRowHeight="15.75"/>
  <cols>
    <col min="1" max="1" width="4.50390625" style="535" customWidth="1"/>
    <col min="2" max="2" width="31.875" style="535" customWidth="1"/>
    <col min="3" max="3" width="7.375" style="535" customWidth="1"/>
    <col min="4" max="6" width="7.125" style="535" customWidth="1"/>
    <col min="7" max="8" width="6.75390625" style="535" customWidth="1"/>
    <col min="9" max="9" width="7.875" style="535" customWidth="1"/>
    <col min="10" max="16" width="6.75390625" style="535" customWidth="1"/>
    <col min="17" max="18" width="6.375" style="535" customWidth="1"/>
    <col min="19" max="19" width="0.12890625" style="535" customWidth="1"/>
    <col min="20" max="20" width="9.00390625" style="535" hidden="1" customWidth="1"/>
    <col min="21" max="16384" width="9.00390625" style="535" customWidth="1"/>
  </cols>
  <sheetData>
    <row r="1" ht="15">
      <c r="A1" s="642" t="s">
        <v>1125</v>
      </c>
    </row>
    <row r="2" spans="1:18" s="643" customFormat="1" ht="16.5">
      <c r="A2" s="1436" t="s">
        <v>1301</v>
      </c>
      <c r="B2" s="1436"/>
      <c r="C2" s="1436"/>
      <c r="D2" s="1436"/>
      <c r="E2" s="1436"/>
      <c r="F2" s="1436"/>
      <c r="G2" s="1436"/>
      <c r="H2" s="1436"/>
      <c r="I2" s="1436"/>
      <c r="J2" s="1436"/>
      <c r="K2" s="1436"/>
      <c r="L2" s="1436"/>
      <c r="M2" s="1436"/>
      <c r="N2" s="1436"/>
      <c r="O2" s="1436"/>
      <c r="P2" s="1436"/>
      <c r="Q2" s="1436"/>
      <c r="R2" s="1436"/>
    </row>
    <row r="3" spans="1:18" s="643" customFormat="1" ht="15.75">
      <c r="A3" s="1437" t="s">
        <v>1399</v>
      </c>
      <c r="B3" s="1437"/>
      <c r="C3" s="1437"/>
      <c r="D3" s="1437"/>
      <c r="E3" s="1437"/>
      <c r="F3" s="1437"/>
      <c r="G3" s="1437"/>
      <c r="H3" s="1437"/>
      <c r="I3" s="1437"/>
      <c r="J3" s="1437"/>
      <c r="K3" s="1437"/>
      <c r="L3" s="1437"/>
      <c r="M3" s="1437"/>
      <c r="N3" s="1437"/>
      <c r="O3" s="1437"/>
      <c r="P3" s="1437"/>
      <c r="Q3" s="1437"/>
      <c r="R3" s="1437"/>
    </row>
    <row r="5" spans="1:18" ht="18.75" customHeight="1">
      <c r="A5" s="1438" t="s">
        <v>620</v>
      </c>
      <c r="B5" s="1438" t="s">
        <v>1126</v>
      </c>
      <c r="C5" s="1438" t="s">
        <v>1127</v>
      </c>
      <c r="D5" s="1440" t="s">
        <v>1294</v>
      </c>
      <c r="E5" s="1440" t="s">
        <v>1295</v>
      </c>
      <c r="F5" s="1440" t="s">
        <v>1282</v>
      </c>
      <c r="G5" s="1415" t="s">
        <v>1128</v>
      </c>
      <c r="H5" s="1415"/>
      <c r="I5" s="1415"/>
      <c r="J5" s="1415"/>
      <c r="K5" s="1415"/>
      <c r="L5" s="1415"/>
      <c r="M5" s="1415"/>
      <c r="N5" s="1415"/>
      <c r="O5" s="1415"/>
      <c r="P5" s="1415"/>
      <c r="Q5" s="1434" t="s">
        <v>498</v>
      </c>
      <c r="R5" s="1434"/>
    </row>
    <row r="6" spans="1:18" ht="49.5" customHeight="1">
      <c r="A6" s="1439"/>
      <c r="B6" s="1439"/>
      <c r="C6" s="1439"/>
      <c r="D6" s="1440"/>
      <c r="E6" s="1440"/>
      <c r="F6" s="1440"/>
      <c r="G6" s="644" t="s">
        <v>1050</v>
      </c>
      <c r="H6" s="644" t="s">
        <v>560</v>
      </c>
      <c r="I6" s="644" t="s">
        <v>500</v>
      </c>
      <c r="J6" s="644" t="s">
        <v>686</v>
      </c>
      <c r="K6" s="644" t="s">
        <v>1129</v>
      </c>
      <c r="L6" s="644" t="s">
        <v>1130</v>
      </c>
      <c r="M6" s="644" t="s">
        <v>1131</v>
      </c>
      <c r="N6" s="644" t="s">
        <v>565</v>
      </c>
      <c r="O6" s="644" t="s">
        <v>566</v>
      </c>
      <c r="P6" s="644" t="s">
        <v>1132</v>
      </c>
      <c r="Q6" s="645" t="s">
        <v>984</v>
      </c>
      <c r="R6" s="645" t="s">
        <v>1296</v>
      </c>
    </row>
    <row r="7" spans="1:18" ht="15">
      <c r="A7" s="646" t="s">
        <v>46</v>
      </c>
      <c r="B7" s="647" t="s">
        <v>1133</v>
      </c>
      <c r="C7" s="648"/>
      <c r="D7" s="536"/>
      <c r="E7" s="536"/>
      <c r="F7" s="536"/>
      <c r="G7" s="649"/>
      <c r="H7" s="649"/>
      <c r="I7" s="634"/>
      <c r="J7" s="634"/>
      <c r="K7" s="634"/>
      <c r="L7" s="634"/>
      <c r="M7" s="634"/>
      <c r="N7" s="634"/>
      <c r="O7" s="634"/>
      <c r="P7" s="634"/>
      <c r="Q7" s="634"/>
      <c r="R7" s="634"/>
    </row>
    <row r="8" spans="1:19" ht="15">
      <c r="A8" s="627">
        <v>1</v>
      </c>
      <c r="B8" s="621" t="s">
        <v>1134</v>
      </c>
      <c r="C8" s="626" t="s">
        <v>19</v>
      </c>
      <c r="D8" s="650">
        <v>92.26268327941075</v>
      </c>
      <c r="E8" s="650">
        <v>95</v>
      </c>
      <c r="F8" s="650">
        <v>95</v>
      </c>
      <c r="G8" s="649">
        <v>99.06542056074767</v>
      </c>
      <c r="H8" s="649">
        <v>99.03846153846155</v>
      </c>
      <c r="I8" s="634">
        <v>96.51612903225806</v>
      </c>
      <c r="J8" s="634">
        <v>94.681411269089</v>
      </c>
      <c r="K8" s="634">
        <v>94.48698315467074</v>
      </c>
      <c r="L8" s="634">
        <v>94.96676163342829</v>
      </c>
      <c r="M8" s="634">
        <v>95.01577287066246</v>
      </c>
      <c r="N8" s="634">
        <v>94.48424068767909</v>
      </c>
      <c r="O8" s="634">
        <v>93.00595238095238</v>
      </c>
      <c r="P8" s="634">
        <v>93.00173510699827</v>
      </c>
      <c r="Q8" s="634">
        <f>E8-D8</f>
        <v>2.7373167205892486</v>
      </c>
      <c r="R8" s="634">
        <f>F8-E8</f>
        <v>0</v>
      </c>
      <c r="S8" s="1435" t="s">
        <v>1135</v>
      </c>
    </row>
    <row r="9" spans="1:19" ht="25.5">
      <c r="A9" s="627">
        <v>2</v>
      </c>
      <c r="B9" s="621" t="s">
        <v>1136</v>
      </c>
      <c r="C9" s="626" t="s">
        <v>19</v>
      </c>
      <c r="D9" s="651">
        <v>71.0214907508161</v>
      </c>
      <c r="E9" s="651">
        <v>71.5</v>
      </c>
      <c r="F9" s="651">
        <v>72</v>
      </c>
      <c r="G9" s="636">
        <v>100</v>
      </c>
      <c r="H9" s="636">
        <v>100</v>
      </c>
      <c r="I9" s="634">
        <v>76</v>
      </c>
      <c r="J9" s="634">
        <v>74</v>
      </c>
      <c r="K9" s="634">
        <v>83.1</v>
      </c>
      <c r="L9" s="634">
        <v>86</v>
      </c>
      <c r="M9" s="634">
        <v>75.6</v>
      </c>
      <c r="N9" s="634">
        <v>64</v>
      </c>
      <c r="O9" s="634">
        <v>73</v>
      </c>
      <c r="P9" s="634">
        <v>73</v>
      </c>
      <c r="Q9" s="634">
        <f aca="true" t="shared" si="0" ref="Q9:R17">E9-D9</f>
        <v>0.4785092491839009</v>
      </c>
      <c r="R9" s="634">
        <f t="shared" si="0"/>
        <v>0.5</v>
      </c>
      <c r="S9" s="1435"/>
    </row>
    <row r="10" spans="1:21" s="658" customFormat="1" ht="25.5">
      <c r="A10" s="652"/>
      <c r="B10" s="653" t="s">
        <v>1137</v>
      </c>
      <c r="C10" s="654" t="s">
        <v>19</v>
      </c>
      <c r="D10" s="630">
        <v>68.3214907508161</v>
      </c>
      <c r="E10" s="630">
        <v>70</v>
      </c>
      <c r="F10" s="630">
        <v>71</v>
      </c>
      <c r="G10" s="655">
        <v>98.1</v>
      </c>
      <c r="H10" s="656">
        <v>100</v>
      </c>
      <c r="I10" s="657">
        <v>73.6</v>
      </c>
      <c r="J10" s="657">
        <v>73.5</v>
      </c>
      <c r="K10" s="657">
        <v>82.3</v>
      </c>
      <c r="L10" s="657">
        <v>85</v>
      </c>
      <c r="M10" s="657">
        <v>75.19999999999999</v>
      </c>
      <c r="N10" s="657">
        <v>62.1</v>
      </c>
      <c r="O10" s="657">
        <v>72.9</v>
      </c>
      <c r="P10" s="657">
        <v>72.1</v>
      </c>
      <c r="Q10" s="634">
        <f t="shared" si="0"/>
        <v>1.6785092491839038</v>
      </c>
      <c r="R10" s="634">
        <f t="shared" si="0"/>
        <v>1</v>
      </c>
      <c r="S10" s="1435"/>
      <c r="U10" s="658" t="s">
        <v>1138</v>
      </c>
    </row>
    <row r="11" spans="1:19" ht="15">
      <c r="A11" s="627">
        <v>3</v>
      </c>
      <c r="B11" s="621" t="s">
        <v>1139</v>
      </c>
      <c r="C11" s="626" t="s">
        <v>19</v>
      </c>
      <c r="D11" s="615">
        <v>85.92125080685649</v>
      </c>
      <c r="E11" s="615">
        <v>94.1</v>
      </c>
      <c r="F11" s="615">
        <v>94.1</v>
      </c>
      <c r="G11" s="659">
        <v>98.13084112149532</v>
      </c>
      <c r="H11" s="659">
        <v>98.46153846153847</v>
      </c>
      <c r="I11" s="659">
        <v>95.78494623655914</v>
      </c>
      <c r="J11" s="659">
        <v>94.52343338599263</v>
      </c>
      <c r="K11" s="659">
        <v>94.07861153649822</v>
      </c>
      <c r="L11" s="659">
        <v>94.49192782526116</v>
      </c>
      <c r="M11" s="659">
        <v>94.06940063091483</v>
      </c>
      <c r="N11" s="659">
        <v>93.48137535816619</v>
      </c>
      <c r="O11" s="659">
        <v>90.99702380952381</v>
      </c>
      <c r="P11" s="659">
        <v>90.97744360902256</v>
      </c>
      <c r="Q11" s="634">
        <f t="shared" si="0"/>
        <v>8.178749193143503</v>
      </c>
      <c r="R11" s="634">
        <f t="shared" si="0"/>
        <v>0</v>
      </c>
      <c r="S11" s="1435"/>
    </row>
    <row r="12" spans="1:19" ht="15">
      <c r="A12" s="627">
        <v>4</v>
      </c>
      <c r="B12" s="660" t="s">
        <v>1140</v>
      </c>
      <c r="C12" s="661" t="s">
        <v>19</v>
      </c>
      <c r="D12" s="662">
        <v>82.802728823195</v>
      </c>
      <c r="E12" s="662">
        <v>90</v>
      </c>
      <c r="F12" s="662">
        <v>90</v>
      </c>
      <c r="G12" s="659"/>
      <c r="H12" s="659"/>
      <c r="I12" s="659"/>
      <c r="J12" s="659"/>
      <c r="K12" s="659"/>
      <c r="L12" s="659"/>
      <c r="M12" s="659"/>
      <c r="N12" s="659"/>
      <c r="O12" s="659"/>
      <c r="P12" s="659"/>
      <c r="Q12" s="634">
        <f t="shared" si="0"/>
        <v>7.197271176805003</v>
      </c>
      <c r="R12" s="634">
        <f t="shared" si="0"/>
        <v>0</v>
      </c>
      <c r="S12" s="1435"/>
    </row>
    <row r="13" spans="1:19" ht="25.5">
      <c r="A13" s="627">
        <v>5</v>
      </c>
      <c r="B13" s="660" t="s">
        <v>1141</v>
      </c>
      <c r="C13" s="661" t="s">
        <v>19</v>
      </c>
      <c r="D13" s="662">
        <v>100</v>
      </c>
      <c r="E13" s="662">
        <v>100</v>
      </c>
      <c r="F13" s="662">
        <v>100</v>
      </c>
      <c r="G13" s="649"/>
      <c r="H13" s="649"/>
      <c r="I13" s="634"/>
      <c r="J13" s="634"/>
      <c r="K13" s="634"/>
      <c r="L13" s="634"/>
      <c r="M13" s="634"/>
      <c r="N13" s="634"/>
      <c r="O13" s="634"/>
      <c r="P13" s="634"/>
      <c r="Q13" s="634">
        <f t="shared" si="0"/>
        <v>0</v>
      </c>
      <c r="R13" s="634">
        <f t="shared" si="0"/>
        <v>0</v>
      </c>
      <c r="S13" s="1435"/>
    </row>
    <row r="14" spans="1:19" ht="15">
      <c r="A14" s="627">
        <v>6</v>
      </c>
      <c r="B14" s="621" t="s">
        <v>1142</v>
      </c>
      <c r="C14" s="626" t="s">
        <v>1143</v>
      </c>
      <c r="D14" s="651">
        <v>29.24217462932455</v>
      </c>
      <c r="E14" s="651">
        <v>29.9</v>
      </c>
      <c r="F14" s="651">
        <v>23</v>
      </c>
      <c r="G14" s="663">
        <v>10.81081081081081</v>
      </c>
      <c r="H14" s="657">
        <v>5.4945054945054945</v>
      </c>
      <c r="I14" s="657">
        <v>16.9811320754717</v>
      </c>
      <c r="J14" s="657">
        <v>30.016675931072818</v>
      </c>
      <c r="K14" s="664">
        <v>17.23147616312464</v>
      </c>
      <c r="L14" s="665">
        <v>27.027027027027028</v>
      </c>
      <c r="M14" s="657">
        <v>21.542738012508686</v>
      </c>
      <c r="N14" s="657">
        <v>26.27939142461964</v>
      </c>
      <c r="O14" s="657">
        <v>20.30075187969925</v>
      </c>
      <c r="P14" s="657">
        <v>39.80099502487562</v>
      </c>
      <c r="Q14" s="634">
        <f t="shared" si="0"/>
        <v>0.6578253706754502</v>
      </c>
      <c r="R14" s="634">
        <f t="shared" si="0"/>
        <v>-6.899999999999999</v>
      </c>
      <c r="S14" s="1435"/>
    </row>
    <row r="15" spans="1:19" s="658" customFormat="1" ht="25.5">
      <c r="A15" s="652"/>
      <c r="B15" s="653" t="s">
        <v>1144</v>
      </c>
      <c r="C15" s="654" t="s">
        <v>1143</v>
      </c>
      <c r="D15" s="630">
        <v>38.1</v>
      </c>
      <c r="E15" s="630">
        <v>34.1</v>
      </c>
      <c r="F15" s="630">
        <v>26.2</v>
      </c>
      <c r="G15" s="665">
        <v>6.944444444444444</v>
      </c>
      <c r="H15" s="665">
        <v>12.658227848101266</v>
      </c>
      <c r="I15" s="665">
        <v>21.44607843137255</v>
      </c>
      <c r="J15" s="665">
        <v>30.32004491858506</v>
      </c>
      <c r="K15" s="665">
        <v>18.32620647525962</v>
      </c>
      <c r="L15" s="665">
        <v>30.37667071688943</v>
      </c>
      <c r="M15" s="665">
        <v>21.98581560283688</v>
      </c>
      <c r="N15" s="665">
        <v>27.377521613832855</v>
      </c>
      <c r="O15" s="665">
        <v>21.1433046202036</v>
      </c>
      <c r="P15" s="665">
        <v>41.45077720207254</v>
      </c>
      <c r="Q15" s="634">
        <f t="shared" si="0"/>
        <v>-4</v>
      </c>
      <c r="R15" s="634">
        <f t="shared" si="0"/>
        <v>-7.900000000000002</v>
      </c>
      <c r="S15" s="1435"/>
    </row>
    <row r="16" spans="1:19" ht="15">
      <c r="A16" s="627">
        <v>7</v>
      </c>
      <c r="B16" s="621" t="s">
        <v>1145</v>
      </c>
      <c r="C16" s="626" t="s">
        <v>1143</v>
      </c>
      <c r="D16" s="651">
        <v>34.73366282262493</v>
      </c>
      <c r="E16" s="651">
        <v>38</v>
      </c>
      <c r="F16" s="651">
        <v>32</v>
      </c>
      <c r="G16" s="663">
        <v>10.81081081081081</v>
      </c>
      <c r="H16" s="657">
        <v>6.593406593406593</v>
      </c>
      <c r="I16" s="657">
        <v>23.58490566037736</v>
      </c>
      <c r="J16" s="657">
        <v>48.36020011117287</v>
      </c>
      <c r="K16" s="664">
        <v>30.442274554853533</v>
      </c>
      <c r="L16" s="657">
        <v>30.27027027027027</v>
      </c>
      <c r="M16" s="657">
        <v>31.271716469770674</v>
      </c>
      <c r="N16" s="657">
        <v>32.50345781466114</v>
      </c>
      <c r="O16" s="657">
        <v>26.31578947368421</v>
      </c>
      <c r="P16" s="657">
        <v>49.19845218352681</v>
      </c>
      <c r="Q16" s="634">
        <f t="shared" si="0"/>
        <v>3.266337177375071</v>
      </c>
      <c r="R16" s="634">
        <f t="shared" si="0"/>
        <v>-6</v>
      </c>
      <c r="S16" s="1435"/>
    </row>
    <row r="17" spans="1:19" ht="25.5">
      <c r="A17" s="627"/>
      <c r="B17" s="653" t="s">
        <v>1146</v>
      </c>
      <c r="C17" s="654" t="s">
        <v>1143</v>
      </c>
      <c r="D17" s="630">
        <v>45</v>
      </c>
      <c r="E17" s="630">
        <v>43</v>
      </c>
      <c r="F17" s="630">
        <v>36.5</v>
      </c>
      <c r="G17" s="665">
        <v>6.944444444444444</v>
      </c>
      <c r="H17" s="665">
        <v>21.09704641350211</v>
      </c>
      <c r="I17" s="665">
        <v>30.637254901960784</v>
      </c>
      <c r="J17" s="665">
        <v>48.84896125772038</v>
      </c>
      <c r="K17" s="665">
        <v>32.376298106292</v>
      </c>
      <c r="L17" s="665">
        <v>34.02187120291616</v>
      </c>
      <c r="M17" s="665">
        <v>31.914893617021274</v>
      </c>
      <c r="N17" s="665">
        <v>33.86167146974063</v>
      </c>
      <c r="O17" s="665">
        <v>27.4079874706343</v>
      </c>
      <c r="P17" s="665">
        <v>51.237766263672995</v>
      </c>
      <c r="Q17" s="634">
        <f t="shared" si="0"/>
        <v>-2</v>
      </c>
      <c r="R17" s="634">
        <f t="shared" si="0"/>
        <v>-6.5</v>
      </c>
      <c r="S17" s="1435"/>
    </row>
    <row r="18" spans="1:19" ht="15">
      <c r="A18" s="627">
        <v>8</v>
      </c>
      <c r="B18" s="621" t="s">
        <v>1147</v>
      </c>
      <c r="C18" s="626" t="s">
        <v>1148</v>
      </c>
      <c r="D18" s="607">
        <v>34.321801208127404</v>
      </c>
      <c r="E18" s="607">
        <v>44.24126235068574</v>
      </c>
      <c r="F18" s="607">
        <v>42.857142857142854</v>
      </c>
      <c r="G18" s="666"/>
      <c r="H18" s="667"/>
      <c r="I18" s="668"/>
      <c r="J18" s="635"/>
      <c r="K18" s="635"/>
      <c r="L18" s="635"/>
      <c r="M18" s="635"/>
      <c r="N18" s="635"/>
      <c r="O18" s="635"/>
      <c r="P18" s="635"/>
      <c r="Q18" s="634">
        <f>E18/D18%</f>
        <v>128.90134198495795</v>
      </c>
      <c r="R18" s="634">
        <f>F17/E17%</f>
        <v>84.88372093023256</v>
      </c>
      <c r="S18" s="1435"/>
    </row>
    <row r="19" spans="1:19" s="658" customFormat="1" ht="25.5">
      <c r="A19" s="652"/>
      <c r="B19" s="653" t="s">
        <v>1149</v>
      </c>
      <c r="C19" s="654" t="s">
        <v>1148</v>
      </c>
      <c r="D19" s="669">
        <v>39.271127866792334</v>
      </c>
      <c r="E19" s="669">
        <v>50.62009617818274</v>
      </c>
      <c r="F19" s="669">
        <v>49.03563255966002</v>
      </c>
      <c r="G19" s="655"/>
      <c r="H19" s="670"/>
      <c r="I19" s="671"/>
      <c r="J19" s="672"/>
      <c r="K19" s="672"/>
      <c r="L19" s="672"/>
      <c r="M19" s="672"/>
      <c r="N19" s="672"/>
      <c r="O19" s="672"/>
      <c r="P19" s="672"/>
      <c r="Q19" s="634">
        <f>E19/D19%</f>
        <v>128.89901290812455</v>
      </c>
      <c r="R19" s="634">
        <f>F18/E18%</f>
        <v>96.87142857142857</v>
      </c>
      <c r="S19" s="1435"/>
    </row>
    <row r="20" spans="1:19" ht="15">
      <c r="A20" s="627">
        <v>9</v>
      </c>
      <c r="B20" s="621" t="s">
        <v>1150</v>
      </c>
      <c r="C20" s="626" t="s">
        <v>19</v>
      </c>
      <c r="D20" s="607">
        <v>5.476369092273068</v>
      </c>
      <c r="E20" s="607">
        <v>5</v>
      </c>
      <c r="F20" s="607">
        <v>4.9</v>
      </c>
      <c r="G20" s="667">
        <v>3.2432432432432434</v>
      </c>
      <c r="H20" s="649">
        <v>3.5164835164835164</v>
      </c>
      <c r="I20" s="634">
        <v>4.617676266137041</v>
      </c>
      <c r="J20" s="634">
        <v>5.381431105854524</v>
      </c>
      <c r="K20" s="634">
        <v>5.078597339782346</v>
      </c>
      <c r="L20" s="634">
        <v>4.942528735632184</v>
      </c>
      <c r="M20" s="634">
        <v>5.13595166163142</v>
      </c>
      <c r="N20" s="634">
        <v>4.415011037527594</v>
      </c>
      <c r="O20" s="634">
        <v>4.983660130718954</v>
      </c>
      <c r="P20" s="634">
        <v>5.13595166163142</v>
      </c>
      <c r="Q20" s="634">
        <f aca="true" t="shared" si="1" ref="Q20:R29">E20-D20</f>
        <v>-0.47636909227306834</v>
      </c>
      <c r="R20" s="634">
        <f t="shared" si="1"/>
        <v>-0.09999999999999964</v>
      </c>
      <c r="S20" s="1435"/>
    </row>
    <row r="21" spans="1:19" ht="25.5">
      <c r="A21" s="627">
        <v>10</v>
      </c>
      <c r="B21" s="660" t="s">
        <v>1151</v>
      </c>
      <c r="C21" s="626" t="s">
        <v>19</v>
      </c>
      <c r="D21" s="673">
        <v>37.9</v>
      </c>
      <c r="E21" s="673">
        <v>38.1</v>
      </c>
      <c r="F21" s="673">
        <v>39</v>
      </c>
      <c r="G21" s="667">
        <v>42</v>
      </c>
      <c r="H21" s="649">
        <v>52</v>
      </c>
      <c r="I21" s="634">
        <v>46</v>
      </c>
      <c r="J21" s="634">
        <v>36</v>
      </c>
      <c r="K21" s="634">
        <v>30</v>
      </c>
      <c r="L21" s="634">
        <v>43</v>
      </c>
      <c r="M21" s="634">
        <v>37</v>
      </c>
      <c r="N21" s="634">
        <v>36</v>
      </c>
      <c r="O21" s="634">
        <v>36</v>
      </c>
      <c r="P21" s="634">
        <v>35</v>
      </c>
      <c r="Q21" s="634">
        <f t="shared" si="1"/>
        <v>0.20000000000000284</v>
      </c>
      <c r="R21" s="634">
        <f t="shared" si="1"/>
        <v>0.8999999999999986</v>
      </c>
      <c r="S21" s="1435"/>
    </row>
    <row r="22" spans="1:19" ht="15">
      <c r="A22" s="627">
        <v>11</v>
      </c>
      <c r="B22" s="621" t="s">
        <v>1152</v>
      </c>
      <c r="C22" s="626" t="s">
        <v>19</v>
      </c>
      <c r="D22" s="617">
        <v>16.63</v>
      </c>
      <c r="E22" s="615">
        <v>16.2</v>
      </c>
      <c r="F22" s="615">
        <v>16</v>
      </c>
      <c r="G22" s="637">
        <v>8.4</v>
      </c>
      <c r="H22" s="637">
        <v>4.57</v>
      </c>
      <c r="I22" s="637">
        <v>12.17</v>
      </c>
      <c r="J22" s="637">
        <v>17.16</v>
      </c>
      <c r="K22" s="637">
        <v>15.33</v>
      </c>
      <c r="L22" s="637">
        <v>16.09</v>
      </c>
      <c r="M22" s="637">
        <v>17.53</v>
      </c>
      <c r="N22" s="637">
        <v>17</v>
      </c>
      <c r="O22" s="637">
        <v>19.68</v>
      </c>
      <c r="P22" s="637">
        <v>22.74</v>
      </c>
      <c r="Q22" s="634">
        <f t="shared" si="1"/>
        <v>-0.4299999999999997</v>
      </c>
      <c r="R22" s="634">
        <f t="shared" si="1"/>
        <v>-0.1999999999999993</v>
      </c>
      <c r="S22" s="1435"/>
    </row>
    <row r="23" spans="1:19" s="658" customFormat="1" ht="25.5">
      <c r="A23" s="652"/>
      <c r="B23" s="653" t="s">
        <v>1153</v>
      </c>
      <c r="C23" s="654" t="s">
        <v>19</v>
      </c>
      <c r="D23" s="674">
        <v>18.447058061171592</v>
      </c>
      <c r="E23" s="628">
        <v>18.1</v>
      </c>
      <c r="F23" s="628">
        <v>17.900000000000002</v>
      </c>
      <c r="G23" s="664">
        <v>10.6</v>
      </c>
      <c r="H23" s="664">
        <v>9.5</v>
      </c>
      <c r="I23" s="664">
        <v>13</v>
      </c>
      <c r="J23" s="664">
        <v>17.5</v>
      </c>
      <c r="K23" s="664">
        <v>16.2</v>
      </c>
      <c r="L23" s="664">
        <v>17.6</v>
      </c>
      <c r="M23" s="664">
        <v>18.2</v>
      </c>
      <c r="N23" s="664">
        <v>18.1</v>
      </c>
      <c r="O23" s="664">
        <v>21</v>
      </c>
      <c r="P23" s="664">
        <v>23.3</v>
      </c>
      <c r="Q23" s="634">
        <f t="shared" si="1"/>
        <v>-0.347058061171591</v>
      </c>
      <c r="R23" s="634">
        <f t="shared" si="1"/>
        <v>-0.1999999999999993</v>
      </c>
      <c r="S23" s="1435"/>
    </row>
    <row r="24" spans="1:19" ht="25.5">
      <c r="A24" s="627">
        <v>12</v>
      </c>
      <c r="B24" s="621" t="s">
        <v>1154</v>
      </c>
      <c r="C24" s="626" t="s">
        <v>19</v>
      </c>
      <c r="D24" s="629">
        <v>27.41</v>
      </c>
      <c r="E24" s="629">
        <v>26.9</v>
      </c>
      <c r="F24" s="629">
        <v>26.599999999999998</v>
      </c>
      <c r="G24" s="649">
        <v>11.9</v>
      </c>
      <c r="H24" s="649">
        <v>7.62</v>
      </c>
      <c r="I24" s="634">
        <v>19.55</v>
      </c>
      <c r="J24" s="634">
        <v>34.15</v>
      </c>
      <c r="K24" s="635">
        <v>31</v>
      </c>
      <c r="L24" s="634">
        <v>23.65</v>
      </c>
      <c r="M24" s="634">
        <v>25.41</v>
      </c>
      <c r="N24" s="634">
        <v>25.5</v>
      </c>
      <c r="O24" s="634">
        <v>31.799999999999997</v>
      </c>
      <c r="P24" s="634">
        <v>34.75</v>
      </c>
      <c r="Q24" s="634">
        <f t="shared" si="1"/>
        <v>-0.5100000000000016</v>
      </c>
      <c r="R24" s="634">
        <f t="shared" si="1"/>
        <v>-0.3000000000000007</v>
      </c>
      <c r="S24" s="1435"/>
    </row>
    <row r="25" spans="1:19" ht="25.5">
      <c r="A25" s="627">
        <v>13</v>
      </c>
      <c r="B25" s="653" t="s">
        <v>1155</v>
      </c>
      <c r="C25" s="654" t="s">
        <v>19</v>
      </c>
      <c r="D25" s="629">
        <v>57.98770523694654</v>
      </c>
      <c r="E25" s="630">
        <v>60</v>
      </c>
      <c r="F25" s="630">
        <v>60.5</v>
      </c>
      <c r="G25" s="649"/>
      <c r="H25" s="649"/>
      <c r="I25" s="634"/>
      <c r="J25" s="634"/>
      <c r="K25" s="635"/>
      <c r="L25" s="634"/>
      <c r="M25" s="634"/>
      <c r="N25" s="634"/>
      <c r="O25" s="634"/>
      <c r="P25" s="634"/>
      <c r="Q25" s="634">
        <f t="shared" si="1"/>
        <v>2.012294763053461</v>
      </c>
      <c r="R25" s="634">
        <f t="shared" si="1"/>
        <v>0.5</v>
      </c>
      <c r="S25" s="1435"/>
    </row>
    <row r="26" spans="1:19" ht="15">
      <c r="A26" s="627">
        <v>14</v>
      </c>
      <c r="B26" s="621" t="s">
        <v>1156</v>
      </c>
      <c r="C26" s="626" t="s">
        <v>19</v>
      </c>
      <c r="D26" s="615">
        <v>100</v>
      </c>
      <c r="E26" s="615">
        <v>100</v>
      </c>
      <c r="F26" s="615">
        <v>100</v>
      </c>
      <c r="G26" s="675"/>
      <c r="H26" s="675"/>
      <c r="I26" s="636"/>
      <c r="J26" s="636"/>
      <c r="K26" s="636"/>
      <c r="L26" s="636"/>
      <c r="M26" s="636"/>
      <c r="N26" s="636"/>
      <c r="O26" s="636"/>
      <c r="P26" s="636"/>
      <c r="Q26" s="634">
        <f t="shared" si="1"/>
        <v>0</v>
      </c>
      <c r="R26" s="634">
        <f t="shared" si="1"/>
        <v>0</v>
      </c>
      <c r="S26" s="1435"/>
    </row>
    <row r="27" spans="1:18" ht="15">
      <c r="A27" s="627">
        <v>15</v>
      </c>
      <c r="B27" s="621" t="s">
        <v>1157</v>
      </c>
      <c r="C27" s="626" t="s">
        <v>19</v>
      </c>
      <c r="D27" s="676">
        <v>4.6</v>
      </c>
      <c r="E27" s="676">
        <v>4.6</v>
      </c>
      <c r="F27" s="631">
        <v>4.6</v>
      </c>
      <c r="G27" s="649"/>
      <c r="H27" s="649"/>
      <c r="I27" s="617"/>
      <c r="J27" s="635"/>
      <c r="K27" s="635"/>
      <c r="L27" s="635"/>
      <c r="M27" s="635"/>
      <c r="N27" s="635"/>
      <c r="O27" s="635"/>
      <c r="P27" s="635"/>
      <c r="Q27" s="634">
        <f t="shared" si="1"/>
        <v>0</v>
      </c>
      <c r="R27" s="634">
        <f t="shared" si="1"/>
        <v>0</v>
      </c>
    </row>
    <row r="28" spans="1:18" ht="25.5">
      <c r="A28" s="627">
        <v>16</v>
      </c>
      <c r="B28" s="660" t="s">
        <v>1158</v>
      </c>
      <c r="C28" s="626" t="s">
        <v>19</v>
      </c>
      <c r="D28" s="632">
        <v>54.8</v>
      </c>
      <c r="E28" s="632">
        <v>58.6</v>
      </c>
      <c r="F28" s="632">
        <v>59.02018569572519</v>
      </c>
      <c r="G28" s="649"/>
      <c r="H28" s="649"/>
      <c r="I28" s="635"/>
      <c r="J28" s="635"/>
      <c r="K28" s="635"/>
      <c r="L28" s="635"/>
      <c r="M28" s="635"/>
      <c r="N28" s="635"/>
      <c r="O28" s="635"/>
      <c r="P28" s="635"/>
      <c r="Q28" s="634">
        <f t="shared" si="1"/>
        <v>3.8000000000000043</v>
      </c>
      <c r="R28" s="634">
        <f t="shared" si="1"/>
        <v>0.4201856957251877</v>
      </c>
    </row>
    <row r="29" spans="1:18" ht="25.5">
      <c r="A29" s="627"/>
      <c r="B29" s="653" t="s">
        <v>1159</v>
      </c>
      <c r="C29" s="654" t="s">
        <v>19</v>
      </c>
      <c r="D29" s="632">
        <v>42</v>
      </c>
      <c r="E29" s="630">
        <v>44.0057408690488</v>
      </c>
      <c r="F29" s="630">
        <v>44.541225378600416</v>
      </c>
      <c r="G29" s="649"/>
      <c r="H29" s="649"/>
      <c r="I29" s="635"/>
      <c r="J29" s="635"/>
      <c r="K29" s="635"/>
      <c r="L29" s="635"/>
      <c r="M29" s="635"/>
      <c r="N29" s="635"/>
      <c r="O29" s="635"/>
      <c r="P29" s="635"/>
      <c r="Q29" s="634">
        <f t="shared" si="1"/>
        <v>2.0057408690488003</v>
      </c>
      <c r="R29" s="634">
        <f t="shared" si="1"/>
        <v>0.5354845095516154</v>
      </c>
    </row>
    <row r="30" spans="1:18" ht="15">
      <c r="A30" s="627">
        <v>17</v>
      </c>
      <c r="B30" s="621" t="s">
        <v>1160</v>
      </c>
      <c r="C30" s="626"/>
      <c r="D30" s="617"/>
      <c r="E30" s="617"/>
      <c r="F30" s="617"/>
      <c r="G30" s="677"/>
      <c r="H30" s="677"/>
      <c r="I30" s="635"/>
      <c r="J30" s="635"/>
      <c r="K30" s="635"/>
      <c r="L30" s="635"/>
      <c r="M30" s="635"/>
      <c r="N30" s="635"/>
      <c r="O30" s="635"/>
      <c r="P30" s="635"/>
      <c r="Q30" s="634"/>
      <c r="R30" s="634"/>
    </row>
    <row r="31" spans="1:18" ht="15">
      <c r="A31" s="678"/>
      <c r="B31" s="621" t="s">
        <v>1161</v>
      </c>
      <c r="C31" s="627" t="s">
        <v>1162</v>
      </c>
      <c r="D31" s="679">
        <v>1.2138910758196366</v>
      </c>
      <c r="E31" s="679">
        <v>0.8525992340248482</v>
      </c>
      <c r="F31" s="679">
        <v>0.8525992340248482</v>
      </c>
      <c r="G31" s="634"/>
      <c r="H31" s="680"/>
      <c r="I31" s="635"/>
      <c r="J31" s="635"/>
      <c r="K31" s="635"/>
      <c r="L31" s="635"/>
      <c r="M31" s="635"/>
      <c r="N31" s="635"/>
      <c r="O31" s="635"/>
      <c r="P31" s="635"/>
      <c r="Q31" s="679">
        <f aca="true" t="shared" si="2" ref="Q31:R42">E31-D31</f>
        <v>-0.36129184179478846</v>
      </c>
      <c r="R31" s="679">
        <f t="shared" si="2"/>
        <v>0</v>
      </c>
    </row>
    <row r="32" spans="1:18" ht="15">
      <c r="A32" s="625"/>
      <c r="B32" s="621" t="s">
        <v>1163</v>
      </c>
      <c r="C32" s="626" t="s">
        <v>1164</v>
      </c>
      <c r="D32" s="679">
        <v>0.022543691408078964</v>
      </c>
      <c r="E32" s="679">
        <v>0.01662071040240402</v>
      </c>
      <c r="F32" s="679">
        <v>0.03756205905408937</v>
      </c>
      <c r="G32" s="681">
        <v>0.08599931200550395</v>
      </c>
      <c r="H32" s="681">
        <v>0.01653958750268768</v>
      </c>
      <c r="I32" s="681">
        <v>0.08473929954494996</v>
      </c>
      <c r="J32" s="681">
        <v>0.07539772298876574</v>
      </c>
      <c r="K32" s="681">
        <v>0.011614671653232362</v>
      </c>
      <c r="L32" s="681">
        <v>0.020398172323759792</v>
      </c>
      <c r="M32" s="681">
        <v>0.01819769981074392</v>
      </c>
      <c r="N32" s="681">
        <v>0.020264245764772634</v>
      </c>
      <c r="O32" s="681">
        <v>0.021915406530791146</v>
      </c>
      <c r="P32" s="681">
        <v>0.01809758216302302</v>
      </c>
      <c r="Q32" s="679">
        <f t="shared" si="2"/>
        <v>-0.005922981005674944</v>
      </c>
      <c r="R32" s="679">
        <f t="shared" si="2"/>
        <v>0.020941348651685347</v>
      </c>
    </row>
    <row r="33" spans="1:18" ht="15.75" customHeight="1">
      <c r="A33" s="625"/>
      <c r="B33" s="653" t="s">
        <v>1165</v>
      </c>
      <c r="C33" s="654" t="s">
        <v>1164</v>
      </c>
      <c r="D33" s="657">
        <v>0.2</v>
      </c>
      <c r="E33" s="682">
        <v>0.018109732883975323</v>
      </c>
      <c r="F33" s="679">
        <v>0.0431384229825084</v>
      </c>
      <c r="G33" s="683"/>
      <c r="H33" s="683"/>
      <c r="I33" s="683"/>
      <c r="J33" s="683"/>
      <c r="K33" s="683"/>
      <c r="L33" s="683"/>
      <c r="M33" s="683"/>
      <c r="N33" s="683"/>
      <c r="O33" s="683"/>
      <c r="P33" s="683"/>
      <c r="Q33" s="679">
        <f t="shared" si="2"/>
        <v>-0.18189026711602468</v>
      </c>
      <c r="R33" s="679">
        <f t="shared" si="2"/>
        <v>0.025028690098533073</v>
      </c>
    </row>
    <row r="34" spans="1:18" ht="25.5">
      <c r="A34" s="625"/>
      <c r="B34" s="621" t="s">
        <v>1330</v>
      </c>
      <c r="C34" s="627" t="s">
        <v>1162</v>
      </c>
      <c r="D34" s="607">
        <v>29.653624852165407</v>
      </c>
      <c r="E34" s="607">
        <v>25.76210112372623</v>
      </c>
      <c r="F34" s="607">
        <v>26.130128037627383</v>
      </c>
      <c r="G34" s="683"/>
      <c r="H34" s="683"/>
      <c r="I34" s="683"/>
      <c r="J34" s="683"/>
      <c r="K34" s="683"/>
      <c r="L34" s="683"/>
      <c r="M34" s="683"/>
      <c r="N34" s="683"/>
      <c r="O34" s="683"/>
      <c r="P34" s="683"/>
      <c r="Q34" s="679">
        <f t="shared" si="2"/>
        <v>-3.8915237284391786</v>
      </c>
      <c r="R34" s="679">
        <f t="shared" si="2"/>
        <v>0.3680269139011543</v>
      </c>
    </row>
    <row r="35" spans="1:18" ht="15">
      <c r="A35" s="625"/>
      <c r="B35" s="622" t="s">
        <v>1331</v>
      </c>
      <c r="C35" s="684" t="s">
        <v>1162</v>
      </c>
      <c r="D35" s="668">
        <v>55.665576476871905</v>
      </c>
      <c r="E35" s="668">
        <v>54.183515911837105</v>
      </c>
      <c r="F35" s="634">
        <v>51.44368957407891</v>
      </c>
      <c r="G35" s="679"/>
      <c r="H35" s="679"/>
      <c r="I35" s="685"/>
      <c r="J35" s="685"/>
      <c r="K35" s="685"/>
      <c r="L35" s="685"/>
      <c r="M35" s="685"/>
      <c r="N35" s="685"/>
      <c r="O35" s="685"/>
      <c r="P35" s="685"/>
      <c r="Q35" s="679">
        <f t="shared" si="2"/>
        <v>-1.4820605650348</v>
      </c>
      <c r="R35" s="679">
        <f t="shared" si="2"/>
        <v>-2.7398263377581955</v>
      </c>
    </row>
    <row r="36" spans="1:18" ht="25.5">
      <c r="A36" s="625"/>
      <c r="B36" s="653" t="s">
        <v>1166</v>
      </c>
      <c r="C36" s="627" t="s">
        <v>1162</v>
      </c>
      <c r="D36" s="671">
        <v>53.142011164310084</v>
      </c>
      <c r="E36" s="686">
        <v>51.51212909219648</v>
      </c>
      <c r="F36" s="686">
        <v>50.21982840161438</v>
      </c>
      <c r="G36" s="679"/>
      <c r="H36" s="679"/>
      <c r="I36" s="685"/>
      <c r="J36" s="685"/>
      <c r="K36" s="685"/>
      <c r="L36" s="685"/>
      <c r="M36" s="685"/>
      <c r="N36" s="685"/>
      <c r="O36" s="685"/>
      <c r="P36" s="685"/>
      <c r="Q36" s="679">
        <f t="shared" si="2"/>
        <v>-1.6298820721136025</v>
      </c>
      <c r="R36" s="679">
        <f t="shared" si="2"/>
        <v>-1.2923006905821026</v>
      </c>
    </row>
    <row r="37" spans="1:18" ht="15">
      <c r="A37" s="625"/>
      <c r="B37" s="621" t="s">
        <v>1167</v>
      </c>
      <c r="C37" s="626" t="s">
        <v>19</v>
      </c>
      <c r="D37" s="617">
        <v>0.5944598011299592</v>
      </c>
      <c r="E37" s="617">
        <v>0.5920320189783199</v>
      </c>
      <c r="F37" s="617">
        <v>0.5920320189783199</v>
      </c>
      <c r="G37" s="682"/>
      <c r="H37" s="682"/>
      <c r="I37" s="687"/>
      <c r="J37" s="687"/>
      <c r="K37" s="687"/>
      <c r="L37" s="687"/>
      <c r="M37" s="687"/>
      <c r="N37" s="687"/>
      <c r="O37" s="687"/>
      <c r="P37" s="687"/>
      <c r="Q37" s="679">
        <f t="shared" si="2"/>
        <v>-0.0024277821516393017</v>
      </c>
      <c r="R37" s="679">
        <f t="shared" si="2"/>
        <v>0</v>
      </c>
    </row>
    <row r="38" spans="1:18" ht="25.5">
      <c r="A38" s="625"/>
      <c r="B38" s="653" t="s">
        <v>1168</v>
      </c>
      <c r="C38" s="654" t="s">
        <v>19</v>
      </c>
      <c r="D38" s="688">
        <v>0.8570977580445608</v>
      </c>
      <c r="E38" s="617">
        <v>0.8233374991083582</v>
      </c>
      <c r="F38" s="617">
        <v>0.818072043961861</v>
      </c>
      <c r="G38" s="635"/>
      <c r="H38" s="635"/>
      <c r="I38" s="635"/>
      <c r="J38" s="635"/>
      <c r="K38" s="635"/>
      <c r="L38" s="635"/>
      <c r="M38" s="635"/>
      <c r="N38" s="635"/>
      <c r="O38" s="635"/>
      <c r="P38" s="635"/>
      <c r="Q38" s="679">
        <f t="shared" si="2"/>
        <v>-0.0337602589362026</v>
      </c>
      <c r="R38" s="679">
        <f t="shared" si="2"/>
        <v>-0.005265455146497233</v>
      </c>
    </row>
    <row r="39" spans="1:18" ht="15">
      <c r="A39" s="625"/>
      <c r="B39" s="621" t="s">
        <v>1169</v>
      </c>
      <c r="C39" s="627" t="s">
        <v>1162</v>
      </c>
      <c r="D39" s="668">
        <v>0.52023903249413</v>
      </c>
      <c r="E39" s="668">
        <v>0.3324142080480804</v>
      </c>
      <c r="F39" s="668">
        <v>0.3266266004703423</v>
      </c>
      <c r="G39" s="679"/>
      <c r="H39" s="679"/>
      <c r="I39" s="635"/>
      <c r="J39" s="635"/>
      <c r="K39" s="635"/>
      <c r="L39" s="635"/>
      <c r="M39" s="635"/>
      <c r="N39" s="635"/>
      <c r="O39" s="635"/>
      <c r="P39" s="635"/>
      <c r="Q39" s="679">
        <f t="shared" si="2"/>
        <v>-0.18782482444604953</v>
      </c>
      <c r="R39" s="679">
        <f t="shared" si="2"/>
        <v>-0.0057876075777381075</v>
      </c>
    </row>
    <row r="40" spans="1:18" ht="15">
      <c r="A40" s="625"/>
      <c r="B40" s="621" t="s">
        <v>1170</v>
      </c>
      <c r="C40" s="627" t="s">
        <v>1162</v>
      </c>
      <c r="D40" s="668">
        <v>0.6936520433255067</v>
      </c>
      <c r="E40" s="668">
        <v>0.3324142080480804</v>
      </c>
      <c r="F40" s="668">
        <v>0.48993990070551346</v>
      </c>
      <c r="G40" s="679"/>
      <c r="H40" s="679"/>
      <c r="I40" s="635"/>
      <c r="J40" s="635"/>
      <c r="K40" s="635"/>
      <c r="L40" s="635"/>
      <c r="M40" s="635"/>
      <c r="N40" s="635"/>
      <c r="O40" s="635"/>
      <c r="P40" s="635"/>
      <c r="Q40" s="679">
        <f t="shared" si="2"/>
        <v>-0.36123783527742626</v>
      </c>
      <c r="R40" s="679">
        <f t="shared" si="2"/>
        <v>0.15752569265743305</v>
      </c>
    </row>
    <row r="41" spans="1:18" ht="15">
      <c r="A41" s="625"/>
      <c r="B41" s="621" t="s">
        <v>1171</v>
      </c>
      <c r="C41" s="627" t="s">
        <v>1162</v>
      </c>
      <c r="D41" s="634">
        <v>275.03303517856335</v>
      </c>
      <c r="E41" s="634">
        <v>278.7293134483154</v>
      </c>
      <c r="F41" s="634">
        <v>285.7982754115495</v>
      </c>
      <c r="G41" s="679"/>
      <c r="H41" s="668"/>
      <c r="I41" s="635"/>
      <c r="J41" s="635"/>
      <c r="K41" s="635"/>
      <c r="L41" s="635"/>
      <c r="M41" s="635"/>
      <c r="N41" s="635"/>
      <c r="O41" s="635"/>
      <c r="P41" s="635"/>
      <c r="Q41" s="679">
        <f t="shared" si="2"/>
        <v>3.6962782697520424</v>
      </c>
      <c r="R41" s="679">
        <f t="shared" si="2"/>
        <v>7.0689619632341305</v>
      </c>
    </row>
    <row r="42" spans="1:18" ht="15">
      <c r="A42" s="625"/>
      <c r="B42" s="621" t="s">
        <v>1172</v>
      </c>
      <c r="C42" s="627" t="s">
        <v>1162</v>
      </c>
      <c r="D42" s="634">
        <v>5.375803335772677</v>
      </c>
      <c r="E42" s="679">
        <v>4.986213120721206</v>
      </c>
      <c r="F42" s="679" t="s">
        <v>1332</v>
      </c>
      <c r="G42" s="679"/>
      <c r="H42" s="668"/>
      <c r="I42" s="635"/>
      <c r="J42" s="635"/>
      <c r="K42" s="635"/>
      <c r="L42" s="635"/>
      <c r="M42" s="635"/>
      <c r="N42" s="635"/>
      <c r="O42" s="635"/>
      <c r="P42" s="635"/>
      <c r="Q42" s="679">
        <f t="shared" si="2"/>
        <v>-0.38959021505147096</v>
      </c>
      <c r="R42" s="679"/>
    </row>
    <row r="43" spans="1:18" ht="15" customHeight="1" hidden="1">
      <c r="A43" s="689"/>
      <c r="B43" s="621" t="s">
        <v>1173</v>
      </c>
      <c r="C43" s="627" t="s">
        <v>1162</v>
      </c>
      <c r="G43" s="635"/>
      <c r="H43" s="635"/>
      <c r="I43" s="635"/>
      <c r="J43" s="635"/>
      <c r="K43" s="635"/>
      <c r="L43" s="635"/>
      <c r="M43" s="635"/>
      <c r="N43" s="635"/>
      <c r="O43" s="635"/>
      <c r="P43" s="635"/>
      <c r="Q43" s="634"/>
      <c r="R43" s="634"/>
    </row>
    <row r="44" spans="1:18" ht="15" customHeight="1" hidden="1">
      <c r="A44" s="627"/>
      <c r="B44" s="621" t="s">
        <v>1174</v>
      </c>
      <c r="C44" s="690"/>
      <c r="D44" s="606"/>
      <c r="E44" s="606"/>
      <c r="F44" s="606"/>
      <c r="G44" s="634"/>
      <c r="H44" s="634"/>
      <c r="I44" s="635"/>
      <c r="J44" s="635"/>
      <c r="K44" s="635"/>
      <c r="L44" s="635"/>
      <c r="M44" s="635"/>
      <c r="N44" s="635"/>
      <c r="O44" s="635"/>
      <c r="P44" s="635"/>
      <c r="Q44" s="634" t="e">
        <f aca="true" t="shared" si="3" ref="Q44:R47">E49/D49%</f>
        <v>#DIV/0!</v>
      </c>
      <c r="R44" s="634" t="e">
        <f t="shared" si="3"/>
        <v>#DIV/0!</v>
      </c>
    </row>
    <row r="45" spans="1:18" ht="15" customHeight="1" hidden="1">
      <c r="A45" s="627"/>
      <c r="B45" s="621" t="s">
        <v>1175</v>
      </c>
      <c r="C45" s="690"/>
      <c r="D45" s="606"/>
      <c r="E45" s="606"/>
      <c r="F45" s="606"/>
      <c r="G45" s="634"/>
      <c r="H45" s="634"/>
      <c r="I45" s="635"/>
      <c r="J45" s="635"/>
      <c r="K45" s="635"/>
      <c r="L45" s="635"/>
      <c r="M45" s="635"/>
      <c r="N45" s="635"/>
      <c r="O45" s="635"/>
      <c r="P45" s="635"/>
      <c r="Q45" s="634" t="e">
        <f t="shared" si="3"/>
        <v>#DIV/0!</v>
      </c>
      <c r="R45" s="634" t="e">
        <f t="shared" si="3"/>
        <v>#DIV/0!</v>
      </c>
    </row>
    <row r="46" spans="1:18" ht="15" customHeight="1" hidden="1">
      <c r="A46" s="627"/>
      <c r="B46" s="621" t="s">
        <v>1176</v>
      </c>
      <c r="C46" s="690"/>
      <c r="D46" s="606"/>
      <c r="E46" s="606"/>
      <c r="F46" s="606"/>
      <c r="G46" s="634"/>
      <c r="H46" s="634"/>
      <c r="I46" s="635"/>
      <c r="J46" s="635"/>
      <c r="K46" s="635"/>
      <c r="L46" s="635"/>
      <c r="M46" s="635"/>
      <c r="N46" s="635"/>
      <c r="O46" s="635"/>
      <c r="P46" s="635"/>
      <c r="Q46" s="634">
        <f t="shared" si="3"/>
        <v>100</v>
      </c>
      <c r="R46" s="634">
        <f t="shared" si="3"/>
        <v>80</v>
      </c>
    </row>
    <row r="47" spans="1:18" ht="15" hidden="1">
      <c r="A47" s="627"/>
      <c r="B47" s="621" t="s">
        <v>1177</v>
      </c>
      <c r="C47" s="690"/>
      <c r="D47" s="607"/>
      <c r="E47" s="607"/>
      <c r="F47" s="607"/>
      <c r="G47" s="634"/>
      <c r="H47" s="634"/>
      <c r="I47" s="635"/>
      <c r="J47" s="635"/>
      <c r="K47" s="635"/>
      <c r="L47" s="635"/>
      <c r="M47" s="635"/>
      <c r="N47" s="635"/>
      <c r="O47" s="635"/>
      <c r="P47" s="635"/>
      <c r="Q47" s="634">
        <f t="shared" si="3"/>
        <v>100</v>
      </c>
      <c r="R47" s="634">
        <f t="shared" si="3"/>
        <v>50</v>
      </c>
    </row>
    <row r="48" spans="1:20" s="692" customFormat="1" ht="14.25">
      <c r="A48" s="627">
        <v>18</v>
      </c>
      <c r="B48" s="621" t="s">
        <v>1178</v>
      </c>
      <c r="C48" s="626" t="s">
        <v>1179</v>
      </c>
      <c r="D48" s="691">
        <v>450000</v>
      </c>
      <c r="E48" s="691">
        <v>500000</v>
      </c>
      <c r="F48" s="691">
        <v>500000</v>
      </c>
      <c r="G48" s="635"/>
      <c r="H48" s="635"/>
      <c r="I48" s="635"/>
      <c r="J48" s="635"/>
      <c r="K48" s="635"/>
      <c r="L48" s="635"/>
      <c r="M48" s="635"/>
      <c r="N48" s="635"/>
      <c r="O48" s="635"/>
      <c r="P48" s="635"/>
      <c r="Q48" s="634">
        <f>E48/D48%</f>
        <v>111.11111111111111</v>
      </c>
      <c r="R48" s="634">
        <f>F48/E48%</f>
        <v>100</v>
      </c>
      <c r="T48" s="693">
        <f>SUM(G48:P48)</f>
        <v>0</v>
      </c>
    </row>
    <row r="49" spans="1:20" s="692" customFormat="1" ht="14.25">
      <c r="A49" s="694" t="s">
        <v>88</v>
      </c>
      <c r="B49" s="695" t="s">
        <v>1180</v>
      </c>
      <c r="C49" s="696"/>
      <c r="D49" s="608"/>
      <c r="E49" s="608"/>
      <c r="F49" s="608"/>
      <c r="G49" s="608"/>
      <c r="H49" s="608"/>
      <c r="I49" s="608"/>
      <c r="J49" s="608"/>
      <c r="K49" s="608"/>
      <c r="L49" s="608"/>
      <c r="M49" s="608"/>
      <c r="N49" s="608"/>
      <c r="O49" s="608"/>
      <c r="P49" s="608"/>
      <c r="Q49" s="697"/>
      <c r="R49" s="698"/>
      <c r="T49" s="693">
        <f aca="true" t="shared" si="4" ref="T49:T112">SUM(G49:P49)</f>
        <v>0</v>
      </c>
    </row>
    <row r="50" spans="1:20" ht="15">
      <c r="A50" s="694"/>
      <c r="B50" s="695" t="s">
        <v>1181</v>
      </c>
      <c r="C50" s="696"/>
      <c r="D50" s="608"/>
      <c r="E50" s="608"/>
      <c r="F50" s="608"/>
      <c r="G50" s="608"/>
      <c r="H50" s="608"/>
      <c r="I50" s="608"/>
      <c r="J50" s="608"/>
      <c r="K50" s="608"/>
      <c r="L50" s="608"/>
      <c r="M50" s="608"/>
      <c r="N50" s="608"/>
      <c r="O50" s="608"/>
      <c r="P50" s="608"/>
      <c r="Q50" s="697"/>
      <c r="R50" s="698"/>
      <c r="T50" s="624">
        <f t="shared" si="4"/>
        <v>0</v>
      </c>
    </row>
    <row r="51" spans="1:20" ht="15">
      <c r="A51" s="609">
        <v>1</v>
      </c>
      <c r="B51" s="610" t="s">
        <v>1182</v>
      </c>
      <c r="C51" s="611" t="s">
        <v>1183</v>
      </c>
      <c r="D51" s="633">
        <v>5</v>
      </c>
      <c r="E51" s="633">
        <v>5</v>
      </c>
      <c r="F51" s="633">
        <v>4</v>
      </c>
      <c r="G51" s="633"/>
      <c r="H51" s="633">
        <v>4</v>
      </c>
      <c r="I51" s="633"/>
      <c r="J51" s="633"/>
      <c r="K51" s="633"/>
      <c r="L51" s="633"/>
      <c r="M51" s="633"/>
      <c r="N51" s="633"/>
      <c r="O51" s="633"/>
      <c r="P51" s="633"/>
      <c r="Q51" s="634">
        <f>E51/D51%</f>
        <v>100</v>
      </c>
      <c r="R51" s="634">
        <f>F51/E51%</f>
        <v>80</v>
      </c>
      <c r="T51" s="624">
        <f t="shared" si="4"/>
        <v>4</v>
      </c>
    </row>
    <row r="52" spans="1:20" ht="15">
      <c r="A52" s="623"/>
      <c r="B52" s="610" t="s">
        <v>1184</v>
      </c>
      <c r="C52" s="611" t="s">
        <v>1183</v>
      </c>
      <c r="D52" s="635">
        <v>2</v>
      </c>
      <c r="E52" s="635">
        <v>2</v>
      </c>
      <c r="F52" s="635">
        <v>1</v>
      </c>
      <c r="G52" s="636"/>
      <c r="H52" s="636">
        <v>1</v>
      </c>
      <c r="I52" s="635"/>
      <c r="J52" s="635"/>
      <c r="K52" s="635"/>
      <c r="L52" s="635"/>
      <c r="M52" s="635"/>
      <c r="N52" s="635"/>
      <c r="O52" s="635"/>
      <c r="P52" s="635"/>
      <c r="Q52" s="634">
        <f aca="true" t="shared" si="5" ref="Q52:R84">E52/D52%</f>
        <v>100</v>
      </c>
      <c r="R52" s="634">
        <f t="shared" si="5"/>
        <v>50</v>
      </c>
      <c r="T52" s="624">
        <f t="shared" si="4"/>
        <v>1</v>
      </c>
    </row>
    <row r="53" spans="1:20" ht="15">
      <c r="A53" s="699"/>
      <c r="B53" s="610" t="s">
        <v>1185</v>
      </c>
      <c r="C53" s="611" t="s">
        <v>1183</v>
      </c>
      <c r="D53" s="635">
        <v>1</v>
      </c>
      <c r="E53" s="635">
        <v>1</v>
      </c>
      <c r="F53" s="635">
        <v>1</v>
      </c>
      <c r="G53" s="636"/>
      <c r="H53" s="636">
        <v>1</v>
      </c>
      <c r="I53" s="672"/>
      <c r="J53" s="672"/>
      <c r="K53" s="672"/>
      <c r="L53" s="672"/>
      <c r="M53" s="672"/>
      <c r="N53" s="672"/>
      <c r="O53" s="672"/>
      <c r="P53" s="672"/>
      <c r="Q53" s="634">
        <f t="shared" si="5"/>
        <v>100</v>
      </c>
      <c r="R53" s="634">
        <f t="shared" si="5"/>
        <v>100</v>
      </c>
      <c r="T53" s="624">
        <f t="shared" si="4"/>
        <v>1</v>
      </c>
    </row>
    <row r="54" spans="1:20" ht="15">
      <c r="A54" s="699"/>
      <c r="B54" s="610" t="s">
        <v>1186</v>
      </c>
      <c r="C54" s="611" t="s">
        <v>1183</v>
      </c>
      <c r="D54" s="635">
        <v>1</v>
      </c>
      <c r="E54" s="635">
        <v>1</v>
      </c>
      <c r="F54" s="635">
        <v>1</v>
      </c>
      <c r="G54" s="636"/>
      <c r="H54" s="636">
        <v>1</v>
      </c>
      <c r="I54" s="672"/>
      <c r="J54" s="672"/>
      <c r="K54" s="672"/>
      <c r="L54" s="672"/>
      <c r="M54" s="672"/>
      <c r="N54" s="672"/>
      <c r="O54" s="672"/>
      <c r="P54" s="672"/>
      <c r="Q54" s="634">
        <f t="shared" si="5"/>
        <v>100</v>
      </c>
      <c r="R54" s="634">
        <f t="shared" si="5"/>
        <v>100</v>
      </c>
      <c r="T54" s="624">
        <f t="shared" si="4"/>
        <v>1</v>
      </c>
    </row>
    <row r="55" spans="1:20" ht="15.75" customHeight="1">
      <c r="A55" s="699"/>
      <c r="B55" s="610" t="s">
        <v>1187</v>
      </c>
      <c r="C55" s="611" t="s">
        <v>1183</v>
      </c>
      <c r="D55" s="635">
        <v>1</v>
      </c>
      <c r="E55" s="635">
        <v>1</v>
      </c>
      <c r="F55" s="635">
        <v>1</v>
      </c>
      <c r="G55" s="636"/>
      <c r="H55" s="636">
        <v>1</v>
      </c>
      <c r="I55" s="672"/>
      <c r="J55" s="672"/>
      <c r="K55" s="672"/>
      <c r="L55" s="672"/>
      <c r="M55" s="672"/>
      <c r="N55" s="672"/>
      <c r="O55" s="672"/>
      <c r="P55" s="672"/>
      <c r="Q55" s="634">
        <f t="shared" si="5"/>
        <v>100</v>
      </c>
      <c r="R55" s="634">
        <f t="shared" si="5"/>
        <v>100</v>
      </c>
      <c r="T55" s="624">
        <f t="shared" si="4"/>
        <v>1</v>
      </c>
    </row>
    <row r="56" spans="1:20" ht="15">
      <c r="A56" s="627">
        <v>2</v>
      </c>
      <c r="B56" s="621" t="s">
        <v>1189</v>
      </c>
      <c r="C56" s="626" t="s">
        <v>1190</v>
      </c>
      <c r="D56" s="635">
        <v>1</v>
      </c>
      <c r="E56" s="635">
        <v>1</v>
      </c>
      <c r="F56" s="635">
        <v>1</v>
      </c>
      <c r="G56" s="635"/>
      <c r="H56" s="635"/>
      <c r="I56" s="672"/>
      <c r="J56" s="672"/>
      <c r="K56" s="635">
        <v>1</v>
      </c>
      <c r="L56" s="672"/>
      <c r="M56" s="672"/>
      <c r="N56" s="672"/>
      <c r="O56" s="672"/>
      <c r="P56" s="672"/>
      <c r="Q56" s="634">
        <f t="shared" si="5"/>
        <v>100</v>
      </c>
      <c r="R56" s="634">
        <f t="shared" si="5"/>
        <v>100</v>
      </c>
      <c r="T56" s="624">
        <f t="shared" si="4"/>
        <v>1</v>
      </c>
    </row>
    <row r="57" spans="1:20" ht="15">
      <c r="A57" s="627">
        <v>3</v>
      </c>
      <c r="B57" s="621" t="s">
        <v>1191</v>
      </c>
      <c r="C57" s="626" t="s">
        <v>1192</v>
      </c>
      <c r="D57" s="635">
        <v>1</v>
      </c>
      <c r="E57" s="635">
        <v>1</v>
      </c>
      <c r="F57" s="635">
        <v>1</v>
      </c>
      <c r="G57" s="635"/>
      <c r="H57" s="635">
        <v>1</v>
      </c>
      <c r="I57" s="635"/>
      <c r="J57" s="635"/>
      <c r="K57" s="635"/>
      <c r="L57" s="635"/>
      <c r="M57" s="635"/>
      <c r="N57" s="635"/>
      <c r="O57" s="635"/>
      <c r="P57" s="635"/>
      <c r="Q57" s="634">
        <f t="shared" si="5"/>
        <v>100</v>
      </c>
      <c r="R57" s="634">
        <f t="shared" si="5"/>
        <v>100</v>
      </c>
      <c r="T57" s="624">
        <f t="shared" si="4"/>
        <v>1</v>
      </c>
    </row>
    <row r="58" spans="1:20" ht="15">
      <c r="A58" s="627">
        <v>4</v>
      </c>
      <c r="B58" s="621" t="s">
        <v>1193</v>
      </c>
      <c r="C58" s="626" t="s">
        <v>1192</v>
      </c>
      <c r="D58" s="635">
        <v>1</v>
      </c>
      <c r="E58" s="635">
        <v>1</v>
      </c>
      <c r="F58" s="635">
        <v>1</v>
      </c>
      <c r="G58" s="635"/>
      <c r="H58" s="635">
        <v>1</v>
      </c>
      <c r="I58" s="635"/>
      <c r="J58" s="635"/>
      <c r="K58" s="635"/>
      <c r="L58" s="635"/>
      <c r="M58" s="635"/>
      <c r="N58" s="635"/>
      <c r="O58" s="635"/>
      <c r="P58" s="635"/>
      <c r="Q58" s="634">
        <f t="shared" si="5"/>
        <v>100</v>
      </c>
      <c r="R58" s="634">
        <f t="shared" si="5"/>
        <v>100</v>
      </c>
      <c r="T58" s="624">
        <f t="shared" si="4"/>
        <v>1</v>
      </c>
    </row>
    <row r="59" spans="1:20" ht="15">
      <c r="A59" s="627">
        <v>5</v>
      </c>
      <c r="B59" s="621" t="s">
        <v>1194</v>
      </c>
      <c r="C59" s="626" t="s">
        <v>2</v>
      </c>
      <c r="D59" s="635">
        <v>4</v>
      </c>
      <c r="E59" s="635">
        <v>4</v>
      </c>
      <c r="F59" s="635">
        <v>4</v>
      </c>
      <c r="G59" s="635"/>
      <c r="H59" s="635">
        <v>4</v>
      </c>
      <c r="I59" s="635"/>
      <c r="J59" s="635"/>
      <c r="K59" s="635"/>
      <c r="L59" s="635"/>
      <c r="M59" s="635"/>
      <c r="N59" s="635"/>
      <c r="O59" s="635"/>
      <c r="P59" s="635"/>
      <c r="Q59" s="634">
        <f t="shared" si="5"/>
        <v>100</v>
      </c>
      <c r="R59" s="634">
        <f t="shared" si="5"/>
        <v>100</v>
      </c>
      <c r="T59" s="624">
        <f t="shared" si="4"/>
        <v>4</v>
      </c>
    </row>
    <row r="60" spans="1:20" ht="15">
      <c r="A60" s="694"/>
      <c r="B60" s="695" t="s">
        <v>1195</v>
      </c>
      <c r="C60" s="696"/>
      <c r="D60" s="700">
        <f>SUM(D61:D67)</f>
        <v>196</v>
      </c>
      <c r="E60" s="700">
        <f aca="true" t="shared" si="6" ref="E60:P60">SUM(E61:E67)</f>
        <v>196</v>
      </c>
      <c r="F60" s="700">
        <f t="shared" si="6"/>
        <v>156</v>
      </c>
      <c r="G60" s="700">
        <f t="shared" si="6"/>
        <v>5</v>
      </c>
      <c r="H60" s="700">
        <f t="shared" si="6"/>
        <v>10</v>
      </c>
      <c r="I60" s="700">
        <f t="shared" si="6"/>
        <v>28</v>
      </c>
      <c r="J60" s="700">
        <f t="shared" si="6"/>
        <v>16</v>
      </c>
      <c r="K60" s="700">
        <f t="shared" si="6"/>
        <v>21</v>
      </c>
      <c r="L60" s="700">
        <f t="shared" si="6"/>
        <v>13</v>
      </c>
      <c r="M60" s="700">
        <f t="shared" si="6"/>
        <v>16</v>
      </c>
      <c r="N60" s="700">
        <f t="shared" si="6"/>
        <v>14</v>
      </c>
      <c r="O60" s="700">
        <f t="shared" si="6"/>
        <v>14</v>
      </c>
      <c r="P60" s="700">
        <f t="shared" si="6"/>
        <v>19</v>
      </c>
      <c r="Q60" s="634">
        <f t="shared" si="5"/>
        <v>100</v>
      </c>
      <c r="R60" s="634">
        <f t="shared" si="5"/>
        <v>79.59183673469389</v>
      </c>
      <c r="T60" s="624">
        <f t="shared" si="4"/>
        <v>156</v>
      </c>
    </row>
    <row r="61" spans="1:20" s="692" customFormat="1" ht="14.25">
      <c r="A61" s="627">
        <v>6</v>
      </c>
      <c r="B61" s="621" t="s">
        <v>1196</v>
      </c>
      <c r="C61" s="626" t="s">
        <v>1183</v>
      </c>
      <c r="D61" s="635">
        <v>9</v>
      </c>
      <c r="E61" s="635">
        <v>9</v>
      </c>
      <c r="F61" s="635">
        <v>10</v>
      </c>
      <c r="G61" s="636">
        <v>1</v>
      </c>
      <c r="H61" s="636">
        <v>1</v>
      </c>
      <c r="I61" s="636">
        <v>1</v>
      </c>
      <c r="J61" s="636">
        <v>1</v>
      </c>
      <c r="K61" s="636">
        <v>1</v>
      </c>
      <c r="L61" s="636">
        <v>1</v>
      </c>
      <c r="M61" s="636">
        <v>1</v>
      </c>
      <c r="N61" s="636">
        <v>1</v>
      </c>
      <c r="O61" s="636">
        <v>1</v>
      </c>
      <c r="P61" s="636">
        <v>1</v>
      </c>
      <c r="Q61" s="634">
        <f t="shared" si="5"/>
        <v>100</v>
      </c>
      <c r="R61" s="634">
        <f t="shared" si="5"/>
        <v>111.11111111111111</v>
      </c>
      <c r="T61" s="693">
        <f t="shared" si="4"/>
        <v>10</v>
      </c>
    </row>
    <row r="62" spans="1:20" ht="15">
      <c r="A62" s="627">
        <v>7</v>
      </c>
      <c r="B62" s="621" t="s">
        <v>1197</v>
      </c>
      <c r="C62" s="626" t="s">
        <v>1198</v>
      </c>
      <c r="D62" s="635">
        <v>17</v>
      </c>
      <c r="E62" s="635">
        <v>17</v>
      </c>
      <c r="F62" s="635">
        <v>7</v>
      </c>
      <c r="G62" s="636" t="s">
        <v>1333</v>
      </c>
      <c r="H62" s="633"/>
      <c r="I62" s="636">
        <v>1</v>
      </c>
      <c r="J62" s="633">
        <v>0</v>
      </c>
      <c r="K62" s="633">
        <v>0</v>
      </c>
      <c r="L62" s="633">
        <v>1</v>
      </c>
      <c r="M62" s="633">
        <v>2</v>
      </c>
      <c r="N62" s="633">
        <v>0</v>
      </c>
      <c r="O62" s="633">
        <v>1</v>
      </c>
      <c r="P62" s="636">
        <v>2</v>
      </c>
      <c r="Q62" s="634">
        <f t="shared" si="5"/>
        <v>99.99999999999999</v>
      </c>
      <c r="R62" s="634">
        <f t="shared" si="5"/>
        <v>41.17647058823529</v>
      </c>
      <c r="T62" s="624">
        <f t="shared" si="4"/>
        <v>7</v>
      </c>
    </row>
    <row r="63" spans="1:20" ht="15">
      <c r="A63" s="627">
        <v>8</v>
      </c>
      <c r="B63" s="621" t="s">
        <v>1199</v>
      </c>
      <c r="C63" s="626" t="s">
        <v>1200</v>
      </c>
      <c r="D63" s="635">
        <v>10</v>
      </c>
      <c r="E63" s="633">
        <v>10</v>
      </c>
      <c r="F63" s="633">
        <v>0</v>
      </c>
      <c r="G63" s="636"/>
      <c r="H63" s="636"/>
      <c r="I63" s="636"/>
      <c r="J63" s="636"/>
      <c r="K63" s="636"/>
      <c r="L63" s="636"/>
      <c r="M63" s="636"/>
      <c r="N63" s="636"/>
      <c r="O63" s="636"/>
      <c r="P63" s="636"/>
      <c r="Q63" s="634">
        <f t="shared" si="5"/>
        <v>100</v>
      </c>
      <c r="R63" s="634">
        <f t="shared" si="5"/>
        <v>0</v>
      </c>
      <c r="T63" s="624">
        <f t="shared" si="4"/>
        <v>0</v>
      </c>
    </row>
    <row r="64" spans="1:20" ht="15">
      <c r="A64" s="627">
        <v>9</v>
      </c>
      <c r="B64" s="621" t="s">
        <v>1201</v>
      </c>
      <c r="C64" s="626" t="s">
        <v>1200</v>
      </c>
      <c r="D64" s="635">
        <v>10</v>
      </c>
      <c r="E64" s="633">
        <v>10</v>
      </c>
      <c r="F64" s="633">
        <v>0</v>
      </c>
      <c r="G64" s="636"/>
      <c r="H64" s="636"/>
      <c r="I64" s="636"/>
      <c r="J64" s="636"/>
      <c r="K64" s="636"/>
      <c r="L64" s="636"/>
      <c r="M64" s="636"/>
      <c r="N64" s="636"/>
      <c r="O64" s="636"/>
      <c r="P64" s="636"/>
      <c r="Q64" s="634">
        <f t="shared" si="5"/>
        <v>100</v>
      </c>
      <c r="R64" s="634">
        <f t="shared" si="5"/>
        <v>0</v>
      </c>
      <c r="T64" s="624">
        <f t="shared" si="4"/>
        <v>0</v>
      </c>
    </row>
    <row r="65" spans="1:20" ht="15">
      <c r="A65" s="627">
        <v>10</v>
      </c>
      <c r="B65" s="621" t="s">
        <v>1202</v>
      </c>
      <c r="C65" s="626" t="s">
        <v>2</v>
      </c>
      <c r="D65" s="635">
        <v>10</v>
      </c>
      <c r="E65" s="635">
        <v>10</v>
      </c>
      <c r="F65" s="635">
        <v>10</v>
      </c>
      <c r="G65" s="636">
        <v>1</v>
      </c>
      <c r="H65" s="636">
        <v>1</v>
      </c>
      <c r="I65" s="636">
        <v>1</v>
      </c>
      <c r="J65" s="636">
        <v>1</v>
      </c>
      <c r="K65" s="636">
        <v>1</v>
      </c>
      <c r="L65" s="636">
        <v>1</v>
      </c>
      <c r="M65" s="636">
        <v>1</v>
      </c>
      <c r="N65" s="636">
        <v>1</v>
      </c>
      <c r="O65" s="636">
        <v>1</v>
      </c>
      <c r="P65" s="636">
        <v>1</v>
      </c>
      <c r="Q65" s="634">
        <f t="shared" si="5"/>
        <v>100</v>
      </c>
      <c r="R65" s="634">
        <f t="shared" si="5"/>
        <v>100</v>
      </c>
      <c r="T65" s="624">
        <f t="shared" si="4"/>
        <v>10</v>
      </c>
    </row>
    <row r="66" spans="1:20" ht="15">
      <c r="A66" s="627">
        <v>11</v>
      </c>
      <c r="B66" s="621" t="s">
        <v>1203</v>
      </c>
      <c r="C66" s="626" t="s">
        <v>2</v>
      </c>
      <c r="D66" s="635">
        <v>10</v>
      </c>
      <c r="E66" s="633">
        <v>10</v>
      </c>
      <c r="F66" s="633">
        <v>0</v>
      </c>
      <c r="G66" s="636"/>
      <c r="H66" s="636"/>
      <c r="I66" s="636"/>
      <c r="J66" s="636"/>
      <c r="K66" s="636"/>
      <c r="L66" s="636"/>
      <c r="M66" s="636"/>
      <c r="N66" s="636"/>
      <c r="O66" s="636"/>
      <c r="P66" s="636"/>
      <c r="Q66" s="634">
        <f t="shared" si="5"/>
        <v>100</v>
      </c>
      <c r="R66" s="634">
        <f t="shared" si="5"/>
        <v>0</v>
      </c>
      <c r="T66" s="624">
        <f t="shared" si="4"/>
        <v>0</v>
      </c>
    </row>
    <row r="67" spans="1:20" ht="15">
      <c r="A67" s="627">
        <v>12</v>
      </c>
      <c r="B67" s="621" t="s">
        <v>1204</v>
      </c>
      <c r="C67" s="626" t="s">
        <v>779</v>
      </c>
      <c r="D67" s="635">
        <v>130</v>
      </c>
      <c r="E67" s="635">
        <v>130</v>
      </c>
      <c r="F67" s="635">
        <v>129</v>
      </c>
      <c r="G67" s="636">
        <v>3</v>
      </c>
      <c r="H67" s="636">
        <v>8</v>
      </c>
      <c r="I67" s="635">
        <v>25</v>
      </c>
      <c r="J67" s="635">
        <v>14</v>
      </c>
      <c r="K67" s="635">
        <v>19</v>
      </c>
      <c r="L67" s="635">
        <v>10</v>
      </c>
      <c r="M67" s="635">
        <v>12</v>
      </c>
      <c r="N67" s="635">
        <v>12</v>
      </c>
      <c r="O67" s="635">
        <v>11</v>
      </c>
      <c r="P67" s="635">
        <v>15</v>
      </c>
      <c r="Q67" s="634">
        <f t="shared" si="5"/>
        <v>100</v>
      </c>
      <c r="R67" s="634">
        <f t="shared" si="5"/>
        <v>99.23076923076923</v>
      </c>
      <c r="T67" s="624">
        <f t="shared" si="4"/>
        <v>129</v>
      </c>
    </row>
    <row r="68" spans="1:20" ht="25.5">
      <c r="A68" s="627">
        <v>13</v>
      </c>
      <c r="B68" s="621" t="s">
        <v>1205</v>
      </c>
      <c r="C68" s="626" t="s">
        <v>19</v>
      </c>
      <c r="D68" s="635">
        <v>100</v>
      </c>
      <c r="E68" s="635">
        <v>100</v>
      </c>
      <c r="F68" s="635">
        <v>100</v>
      </c>
      <c r="G68" s="635">
        <v>100</v>
      </c>
      <c r="H68" s="635">
        <v>100</v>
      </c>
      <c r="I68" s="635">
        <v>100</v>
      </c>
      <c r="J68" s="635">
        <v>100</v>
      </c>
      <c r="K68" s="635">
        <v>100</v>
      </c>
      <c r="L68" s="635">
        <v>100</v>
      </c>
      <c r="M68" s="635">
        <v>100</v>
      </c>
      <c r="N68" s="635">
        <v>100</v>
      </c>
      <c r="O68" s="635">
        <v>100</v>
      </c>
      <c r="P68" s="635">
        <v>100</v>
      </c>
      <c r="Q68" s="634">
        <v>0</v>
      </c>
      <c r="R68" s="634">
        <f t="shared" si="5"/>
        <v>100</v>
      </c>
      <c r="T68" s="624">
        <f t="shared" si="4"/>
        <v>1000</v>
      </c>
    </row>
    <row r="69" spans="1:20" ht="15">
      <c r="A69" s="694" t="s">
        <v>98</v>
      </c>
      <c r="B69" s="695" t="s">
        <v>1206</v>
      </c>
      <c r="C69" s="696" t="s">
        <v>149</v>
      </c>
      <c r="D69" s="618">
        <f>D72+D81+D84</f>
        <v>2239</v>
      </c>
      <c r="E69" s="618">
        <f aca="true" t="shared" si="7" ref="E69:P69">E72+E81+E84</f>
        <v>2269</v>
      </c>
      <c r="F69" s="618">
        <f t="shared" si="7"/>
        <v>2330</v>
      </c>
      <c r="G69" s="618">
        <f t="shared" si="7"/>
        <v>109</v>
      </c>
      <c r="H69" s="618">
        <f t="shared" si="7"/>
        <v>877</v>
      </c>
      <c r="I69" s="618">
        <f t="shared" si="7"/>
        <v>200</v>
      </c>
      <c r="J69" s="618">
        <f t="shared" si="7"/>
        <v>137</v>
      </c>
      <c r="K69" s="618">
        <f t="shared" si="7"/>
        <v>312</v>
      </c>
      <c r="L69" s="618">
        <f t="shared" si="7"/>
        <v>145</v>
      </c>
      <c r="M69" s="618">
        <f t="shared" si="7"/>
        <v>186</v>
      </c>
      <c r="N69" s="618">
        <f t="shared" si="7"/>
        <v>116</v>
      </c>
      <c r="O69" s="618">
        <f t="shared" si="7"/>
        <v>113</v>
      </c>
      <c r="P69" s="618">
        <f t="shared" si="7"/>
        <v>135</v>
      </c>
      <c r="Q69" s="634">
        <f t="shared" si="5"/>
        <v>101.33988387673068</v>
      </c>
      <c r="R69" s="634">
        <f t="shared" si="5"/>
        <v>102.68840899074482</v>
      </c>
      <c r="T69" s="624">
        <f t="shared" si="4"/>
        <v>2330</v>
      </c>
    </row>
    <row r="70" spans="1:20" s="692" customFormat="1" ht="14.25">
      <c r="A70" s="652"/>
      <c r="B70" s="653" t="s">
        <v>1207</v>
      </c>
      <c r="C70" s="654" t="s">
        <v>149</v>
      </c>
      <c r="D70" s="701">
        <v>1849</v>
      </c>
      <c r="E70" s="701">
        <v>1879</v>
      </c>
      <c r="F70" s="701">
        <v>1940</v>
      </c>
      <c r="G70" s="701">
        <v>100</v>
      </c>
      <c r="H70" s="701">
        <v>850</v>
      </c>
      <c r="I70" s="701">
        <v>125</v>
      </c>
      <c r="J70" s="701">
        <v>95</v>
      </c>
      <c r="K70" s="701">
        <v>255</v>
      </c>
      <c r="L70" s="701">
        <v>115</v>
      </c>
      <c r="M70" s="701">
        <v>150</v>
      </c>
      <c r="N70" s="701">
        <v>80</v>
      </c>
      <c r="O70" s="701">
        <v>80</v>
      </c>
      <c r="P70" s="701">
        <v>90</v>
      </c>
      <c r="Q70" s="634">
        <f t="shared" si="5"/>
        <v>101.62249864791781</v>
      </c>
      <c r="R70" s="634">
        <f t="shared" si="5"/>
        <v>103.24640766365088</v>
      </c>
      <c r="T70" s="693">
        <f t="shared" si="4"/>
        <v>1940</v>
      </c>
    </row>
    <row r="71" spans="1:20" s="658" customFormat="1" ht="15">
      <c r="A71" s="652"/>
      <c r="B71" s="653" t="s">
        <v>1208</v>
      </c>
      <c r="C71" s="654" t="s">
        <v>1209</v>
      </c>
      <c r="D71" s="674">
        <v>32.06406570272154</v>
      </c>
      <c r="E71" s="688">
        <v>31.230314846117153</v>
      </c>
      <c r="F71" s="674">
        <v>31.682780245623203</v>
      </c>
      <c r="G71" s="702">
        <v>88.2768361581921</v>
      </c>
      <c r="H71" s="702">
        <v>142.9508417281916</v>
      </c>
      <c r="I71" s="702">
        <v>10.270399066626133</v>
      </c>
      <c r="J71" s="702">
        <v>13.885843747716144</v>
      </c>
      <c r="K71" s="702">
        <v>28.524128056556076</v>
      </c>
      <c r="L71" s="702">
        <v>23.315221798718678</v>
      </c>
      <c r="M71" s="702">
        <v>25.444429366264078</v>
      </c>
      <c r="N71" s="702">
        <v>16.14595947364172</v>
      </c>
      <c r="O71" s="702">
        <v>16.938745262444684</v>
      </c>
      <c r="P71" s="702">
        <v>15.801671465692815</v>
      </c>
      <c r="Q71" s="634">
        <f t="shared" si="5"/>
        <v>97.39973444311642</v>
      </c>
      <c r="R71" s="634">
        <f t="shared" si="5"/>
        <v>101.44880191485584</v>
      </c>
      <c r="T71" s="703">
        <f t="shared" si="4"/>
        <v>381.554076124044</v>
      </c>
    </row>
    <row r="72" spans="1:20" s="658" customFormat="1" ht="15" customHeight="1">
      <c r="A72" s="694"/>
      <c r="B72" s="695" t="s">
        <v>1210</v>
      </c>
      <c r="C72" s="696" t="s">
        <v>149</v>
      </c>
      <c r="D72" s="704">
        <v>850</v>
      </c>
      <c r="E72" s="704">
        <v>880</v>
      </c>
      <c r="F72" s="704">
        <v>800</v>
      </c>
      <c r="G72" s="705"/>
      <c r="H72" s="705">
        <v>780</v>
      </c>
      <c r="I72" s="705"/>
      <c r="J72" s="705"/>
      <c r="K72" s="705">
        <v>20</v>
      </c>
      <c r="L72" s="705"/>
      <c r="M72" s="705"/>
      <c r="N72" s="705"/>
      <c r="O72" s="705"/>
      <c r="P72" s="705"/>
      <c r="Q72" s="634">
        <f t="shared" si="5"/>
        <v>103.52941176470588</v>
      </c>
      <c r="R72" s="634">
        <f t="shared" si="5"/>
        <v>90.9090909090909</v>
      </c>
      <c r="T72" s="703">
        <f t="shared" si="4"/>
        <v>800</v>
      </c>
    </row>
    <row r="73" spans="1:20" s="692" customFormat="1" ht="14.25">
      <c r="A73" s="678"/>
      <c r="B73" s="621" t="s">
        <v>1211</v>
      </c>
      <c r="C73" s="626" t="s">
        <v>149</v>
      </c>
      <c r="D73" s="635">
        <v>550</v>
      </c>
      <c r="E73" s="635">
        <v>580</v>
      </c>
      <c r="F73" s="635">
        <v>600</v>
      </c>
      <c r="G73" s="636"/>
      <c r="H73" s="636">
        <v>600</v>
      </c>
      <c r="I73" s="635"/>
      <c r="J73" s="635"/>
      <c r="K73" s="635"/>
      <c r="L73" s="635"/>
      <c r="M73" s="635"/>
      <c r="N73" s="635"/>
      <c r="O73" s="635"/>
      <c r="P73" s="635"/>
      <c r="Q73" s="634">
        <f t="shared" si="5"/>
        <v>105.45454545454545</v>
      </c>
      <c r="R73" s="634">
        <f t="shared" si="5"/>
        <v>103.44827586206897</v>
      </c>
      <c r="T73" s="693">
        <f t="shared" si="4"/>
        <v>600</v>
      </c>
    </row>
    <row r="74" spans="1:20" ht="15">
      <c r="A74" s="625"/>
      <c r="B74" s="621" t="s">
        <v>1212</v>
      </c>
      <c r="C74" s="626" t="s">
        <v>149</v>
      </c>
      <c r="D74" s="635">
        <v>100</v>
      </c>
      <c r="E74" s="635">
        <v>100</v>
      </c>
      <c r="F74" s="635"/>
      <c r="G74" s="636"/>
      <c r="H74" s="636"/>
      <c r="I74" s="635"/>
      <c r="J74" s="635"/>
      <c r="K74" s="635"/>
      <c r="L74" s="635"/>
      <c r="M74" s="635"/>
      <c r="N74" s="635"/>
      <c r="O74" s="635"/>
      <c r="P74" s="635"/>
      <c r="Q74" s="634">
        <f t="shared" si="5"/>
        <v>100</v>
      </c>
      <c r="R74" s="634">
        <f t="shared" si="5"/>
        <v>0</v>
      </c>
      <c r="T74" s="624">
        <f t="shared" si="4"/>
        <v>0</v>
      </c>
    </row>
    <row r="75" spans="1:20" ht="15">
      <c r="A75" s="625"/>
      <c r="B75" s="621" t="s">
        <v>1213</v>
      </c>
      <c r="C75" s="626" t="s">
        <v>149</v>
      </c>
      <c r="D75" s="635">
        <v>100</v>
      </c>
      <c r="E75" s="635">
        <v>100</v>
      </c>
      <c r="F75" s="635">
        <v>100</v>
      </c>
      <c r="G75" s="636"/>
      <c r="H75" s="636">
        <v>100</v>
      </c>
      <c r="I75" s="635"/>
      <c r="J75" s="619"/>
      <c r="K75" s="635"/>
      <c r="L75" s="635"/>
      <c r="M75" s="635"/>
      <c r="N75" s="635"/>
      <c r="O75" s="635"/>
      <c r="P75" s="635"/>
      <c r="Q75" s="634">
        <f t="shared" si="5"/>
        <v>100</v>
      </c>
      <c r="R75" s="634">
        <f t="shared" si="5"/>
        <v>100</v>
      </c>
      <c r="T75" s="624">
        <f t="shared" si="4"/>
        <v>100</v>
      </c>
    </row>
    <row r="76" spans="1:20" ht="15">
      <c r="A76" s="625"/>
      <c r="B76" s="621" t="s">
        <v>1214</v>
      </c>
      <c r="C76" s="626" t="s">
        <v>149</v>
      </c>
      <c r="D76" s="635">
        <v>40</v>
      </c>
      <c r="E76" s="635">
        <v>40</v>
      </c>
      <c r="F76" s="635">
        <v>40</v>
      </c>
      <c r="G76" s="636"/>
      <c r="H76" s="636">
        <v>40</v>
      </c>
      <c r="I76" s="635"/>
      <c r="J76" s="635"/>
      <c r="K76" s="635"/>
      <c r="L76" s="635"/>
      <c r="M76" s="635"/>
      <c r="N76" s="635"/>
      <c r="O76" s="635"/>
      <c r="P76" s="635"/>
      <c r="Q76" s="634">
        <f t="shared" si="5"/>
        <v>100</v>
      </c>
      <c r="R76" s="634">
        <f t="shared" si="5"/>
        <v>100</v>
      </c>
      <c r="T76" s="624">
        <f t="shared" si="4"/>
        <v>40</v>
      </c>
    </row>
    <row r="77" spans="1:20" ht="15">
      <c r="A77" s="625"/>
      <c r="B77" s="621" t="s">
        <v>1187</v>
      </c>
      <c r="C77" s="626" t="s">
        <v>149</v>
      </c>
      <c r="D77" s="635">
        <v>40</v>
      </c>
      <c r="E77" s="635">
        <v>40</v>
      </c>
      <c r="F77" s="635">
        <v>40</v>
      </c>
      <c r="G77" s="636"/>
      <c r="H77" s="636">
        <v>40</v>
      </c>
      <c r="I77" s="635"/>
      <c r="J77" s="635"/>
      <c r="K77" s="635"/>
      <c r="L77" s="635"/>
      <c r="M77" s="635"/>
      <c r="N77" s="635"/>
      <c r="O77" s="635"/>
      <c r="P77" s="635"/>
      <c r="Q77" s="634">
        <f t="shared" si="5"/>
        <v>100</v>
      </c>
      <c r="R77" s="634">
        <f t="shared" si="5"/>
        <v>100</v>
      </c>
      <c r="T77" s="624">
        <f t="shared" si="4"/>
        <v>40</v>
      </c>
    </row>
    <row r="78" spans="1:20" ht="15">
      <c r="A78" s="625"/>
      <c r="B78" s="621" t="s">
        <v>1189</v>
      </c>
      <c r="C78" s="626" t="s">
        <v>149</v>
      </c>
      <c r="D78" s="635">
        <v>20</v>
      </c>
      <c r="E78" s="635">
        <v>20</v>
      </c>
      <c r="F78" s="635">
        <v>20</v>
      </c>
      <c r="G78" s="636"/>
      <c r="H78" s="636"/>
      <c r="I78" s="635"/>
      <c r="J78" s="635"/>
      <c r="K78" s="635">
        <v>20</v>
      </c>
      <c r="L78" s="635"/>
      <c r="M78" s="635"/>
      <c r="N78" s="635"/>
      <c r="O78" s="635"/>
      <c r="P78" s="635"/>
      <c r="Q78" s="634">
        <f t="shared" si="5"/>
        <v>100</v>
      </c>
      <c r="R78" s="634">
        <f t="shared" si="5"/>
        <v>100</v>
      </c>
      <c r="T78" s="624">
        <f t="shared" si="4"/>
        <v>20</v>
      </c>
    </row>
    <row r="79" spans="1:20" ht="15" hidden="1">
      <c r="A79" s="625"/>
      <c r="B79" s="621" t="s">
        <v>1215</v>
      </c>
      <c r="C79" s="626" t="s">
        <v>149</v>
      </c>
      <c r="D79" s="635"/>
      <c r="E79" s="635"/>
      <c r="F79" s="635"/>
      <c r="G79" s="636"/>
      <c r="H79" s="636"/>
      <c r="I79" s="635"/>
      <c r="J79" s="635"/>
      <c r="K79" s="635"/>
      <c r="L79" s="635"/>
      <c r="M79" s="635"/>
      <c r="N79" s="635"/>
      <c r="O79" s="635"/>
      <c r="P79" s="635"/>
      <c r="Q79" s="634"/>
      <c r="R79" s="634"/>
      <c r="T79" s="624">
        <f t="shared" si="4"/>
        <v>0</v>
      </c>
    </row>
    <row r="80" spans="1:20" ht="15" customHeight="1" hidden="1">
      <c r="A80" s="689"/>
      <c r="B80" s="621" t="s">
        <v>1188</v>
      </c>
      <c r="C80" s="626" t="s">
        <v>149</v>
      </c>
      <c r="D80" s="635"/>
      <c r="E80" s="635"/>
      <c r="F80" s="635"/>
      <c r="G80" s="636"/>
      <c r="H80" s="636"/>
      <c r="I80" s="635"/>
      <c r="J80" s="635"/>
      <c r="K80" s="635"/>
      <c r="L80" s="635"/>
      <c r="M80" s="635"/>
      <c r="N80" s="635"/>
      <c r="O80" s="635"/>
      <c r="P80" s="635"/>
      <c r="Q80" s="634" t="e">
        <f t="shared" si="5"/>
        <v>#DIV/0!</v>
      </c>
      <c r="R80" s="634" t="e">
        <f t="shared" si="5"/>
        <v>#DIV/0!</v>
      </c>
      <c r="T80" s="624">
        <f t="shared" si="4"/>
        <v>0</v>
      </c>
    </row>
    <row r="81" spans="1:20" ht="15" customHeight="1">
      <c r="A81" s="646"/>
      <c r="B81" s="647" t="s">
        <v>1216</v>
      </c>
      <c r="C81" s="648" t="s">
        <v>149</v>
      </c>
      <c r="D81" s="612">
        <f>D82+D83</f>
        <v>999</v>
      </c>
      <c r="E81" s="612">
        <f aca="true" t="shared" si="8" ref="E81:P81">E82+E83</f>
        <v>999</v>
      </c>
      <c r="F81" s="612">
        <f t="shared" si="8"/>
        <v>1140</v>
      </c>
      <c r="G81" s="612">
        <f t="shared" si="8"/>
        <v>100</v>
      </c>
      <c r="H81" s="612">
        <f t="shared" si="8"/>
        <v>70</v>
      </c>
      <c r="I81" s="612">
        <f t="shared" si="8"/>
        <v>125</v>
      </c>
      <c r="J81" s="612">
        <f t="shared" si="8"/>
        <v>95</v>
      </c>
      <c r="K81" s="612">
        <f t="shared" si="8"/>
        <v>235</v>
      </c>
      <c r="L81" s="612">
        <f t="shared" si="8"/>
        <v>115</v>
      </c>
      <c r="M81" s="612">
        <f t="shared" si="8"/>
        <v>150</v>
      </c>
      <c r="N81" s="612">
        <f t="shared" si="8"/>
        <v>80</v>
      </c>
      <c r="O81" s="612">
        <f t="shared" si="8"/>
        <v>80</v>
      </c>
      <c r="P81" s="612">
        <f t="shared" si="8"/>
        <v>90</v>
      </c>
      <c r="Q81" s="634">
        <f t="shared" si="5"/>
        <v>100</v>
      </c>
      <c r="R81" s="634">
        <f t="shared" si="5"/>
        <v>114.11411411411412</v>
      </c>
      <c r="T81" s="624">
        <f t="shared" si="4"/>
        <v>1140</v>
      </c>
    </row>
    <row r="82" spans="1:20" s="706" customFormat="1" ht="14.25">
      <c r="A82" s="678"/>
      <c r="B82" s="621" t="s">
        <v>1217</v>
      </c>
      <c r="C82" s="626" t="s">
        <v>149</v>
      </c>
      <c r="D82" s="635">
        <v>810</v>
      </c>
      <c r="E82" s="635">
        <v>884</v>
      </c>
      <c r="F82" s="635">
        <v>1035</v>
      </c>
      <c r="G82" s="636">
        <v>100</v>
      </c>
      <c r="H82" s="636">
        <v>70</v>
      </c>
      <c r="I82" s="635">
        <v>115</v>
      </c>
      <c r="J82" s="635">
        <v>95</v>
      </c>
      <c r="K82" s="635">
        <v>235</v>
      </c>
      <c r="L82" s="635">
        <v>100</v>
      </c>
      <c r="M82" s="635">
        <v>120</v>
      </c>
      <c r="N82" s="635">
        <v>80</v>
      </c>
      <c r="O82" s="635">
        <v>70</v>
      </c>
      <c r="P82" s="635">
        <v>50</v>
      </c>
      <c r="Q82" s="634">
        <f t="shared" si="5"/>
        <v>109.13580246913581</v>
      </c>
      <c r="R82" s="634">
        <f t="shared" si="5"/>
        <v>117.08144796380091</v>
      </c>
      <c r="T82" s="707">
        <f t="shared" si="4"/>
        <v>1035</v>
      </c>
    </row>
    <row r="83" spans="1:20" ht="15">
      <c r="A83" s="625"/>
      <c r="B83" s="621" t="s">
        <v>1218</v>
      </c>
      <c r="C83" s="626" t="s">
        <v>149</v>
      </c>
      <c r="D83" s="635">
        <v>189</v>
      </c>
      <c r="E83" s="635">
        <v>115</v>
      </c>
      <c r="F83" s="635">
        <v>105</v>
      </c>
      <c r="G83" s="636"/>
      <c r="H83" s="636"/>
      <c r="I83" s="635">
        <v>10</v>
      </c>
      <c r="J83" s="635">
        <v>0</v>
      </c>
      <c r="K83" s="635">
        <v>0</v>
      </c>
      <c r="L83" s="635">
        <v>15</v>
      </c>
      <c r="M83" s="635">
        <v>30</v>
      </c>
      <c r="N83" s="635">
        <v>0</v>
      </c>
      <c r="O83" s="635">
        <v>10</v>
      </c>
      <c r="P83" s="635">
        <v>40</v>
      </c>
      <c r="Q83" s="634">
        <f t="shared" si="5"/>
        <v>60.84656084656085</v>
      </c>
      <c r="R83" s="634">
        <f t="shared" si="5"/>
        <v>91.30434782608697</v>
      </c>
      <c r="T83" s="624">
        <f t="shared" si="4"/>
        <v>105</v>
      </c>
    </row>
    <row r="84" spans="1:20" ht="15">
      <c r="A84" s="708"/>
      <c r="B84" s="621" t="s">
        <v>1219</v>
      </c>
      <c r="C84" s="626" t="s">
        <v>149</v>
      </c>
      <c r="D84" s="635">
        <v>390</v>
      </c>
      <c r="E84" s="635">
        <v>390</v>
      </c>
      <c r="F84" s="635">
        <f>SUM(G84:P84)</f>
        <v>390</v>
      </c>
      <c r="G84" s="636">
        <v>9</v>
      </c>
      <c r="H84" s="636">
        <v>27</v>
      </c>
      <c r="I84" s="635">
        <v>75</v>
      </c>
      <c r="J84" s="635">
        <v>42</v>
      </c>
      <c r="K84" s="635">
        <v>57</v>
      </c>
      <c r="L84" s="635">
        <v>30</v>
      </c>
      <c r="M84" s="635">
        <v>36</v>
      </c>
      <c r="N84" s="635">
        <v>36</v>
      </c>
      <c r="O84" s="635">
        <v>33</v>
      </c>
      <c r="P84" s="635">
        <v>45</v>
      </c>
      <c r="Q84" s="634">
        <f t="shared" si="5"/>
        <v>100</v>
      </c>
      <c r="R84" s="634">
        <f t="shared" si="5"/>
        <v>100</v>
      </c>
      <c r="T84" s="624">
        <f t="shared" si="4"/>
        <v>390</v>
      </c>
    </row>
    <row r="85" spans="1:20" ht="25.5" customHeight="1">
      <c r="A85" s="646" t="s">
        <v>101</v>
      </c>
      <c r="B85" s="647" t="s">
        <v>1220</v>
      </c>
      <c r="C85" s="648"/>
      <c r="D85" s="709"/>
      <c r="E85" s="612"/>
      <c r="F85" s="612"/>
      <c r="G85" s="700"/>
      <c r="H85" s="700"/>
      <c r="I85" s="700"/>
      <c r="J85" s="700"/>
      <c r="K85" s="700"/>
      <c r="L85" s="700"/>
      <c r="M85" s="700"/>
      <c r="N85" s="700"/>
      <c r="O85" s="700"/>
      <c r="P85" s="700"/>
      <c r="Q85" s="634"/>
      <c r="R85" s="634"/>
      <c r="T85" s="624">
        <f t="shared" si="4"/>
        <v>0</v>
      </c>
    </row>
    <row r="86" spans="1:20" ht="15" hidden="1">
      <c r="A86" s="646"/>
      <c r="B86" s="621" t="s">
        <v>1221</v>
      </c>
      <c r="C86" s="648"/>
      <c r="D86" s="613"/>
      <c r="E86" s="613"/>
      <c r="F86" s="613"/>
      <c r="G86" s="710"/>
      <c r="H86" s="710"/>
      <c r="I86" s="710"/>
      <c r="J86" s="710"/>
      <c r="K86" s="710"/>
      <c r="L86" s="710"/>
      <c r="M86" s="710"/>
      <c r="N86" s="710"/>
      <c r="O86" s="710"/>
      <c r="P86" s="710"/>
      <c r="Q86" s="634"/>
      <c r="R86" s="634"/>
      <c r="T86" s="624">
        <f t="shared" si="4"/>
        <v>0</v>
      </c>
    </row>
    <row r="87" spans="1:20" ht="15" customHeight="1">
      <c r="A87" s="678"/>
      <c r="B87" s="621" t="s">
        <v>1222</v>
      </c>
      <c r="C87" s="626" t="s">
        <v>1209</v>
      </c>
      <c r="D87" s="668">
        <v>12.451054177692845</v>
      </c>
      <c r="E87" s="607">
        <v>12.182980724962146</v>
      </c>
      <c r="F87" s="668">
        <v>12.330154167755422</v>
      </c>
      <c r="G87" s="668">
        <v>15.889830508474576</v>
      </c>
      <c r="H87" s="668">
        <v>53.816787474142714</v>
      </c>
      <c r="I87" s="668">
        <v>5.25844432211258</v>
      </c>
      <c r="J87" s="668">
        <v>7.600672367170942</v>
      </c>
      <c r="K87" s="668">
        <v>7.830152799838922</v>
      </c>
      <c r="L87" s="668">
        <v>11.150758251561106</v>
      </c>
      <c r="M87" s="668">
        <v>9.66888315918035</v>
      </c>
      <c r="N87" s="668">
        <v>9.082102203923467</v>
      </c>
      <c r="O87" s="668">
        <v>7.198966736538991</v>
      </c>
      <c r="P87" s="668">
        <v>7.022965095863474</v>
      </c>
      <c r="Q87" s="634">
        <f>E87-D87</f>
        <v>-0.2680734527306985</v>
      </c>
      <c r="R87" s="680">
        <f>F87-E87</f>
        <v>0.14717344279327627</v>
      </c>
      <c r="T87" s="624">
        <f t="shared" si="4"/>
        <v>134.51956291880714</v>
      </c>
    </row>
    <row r="88" spans="1:20" ht="15" hidden="1">
      <c r="A88" s="625"/>
      <c r="B88" s="621" t="s">
        <v>1223</v>
      </c>
      <c r="C88" s="626"/>
      <c r="D88" s="613"/>
      <c r="E88" s="613"/>
      <c r="F88" s="613"/>
      <c r="G88" s="710"/>
      <c r="H88" s="668"/>
      <c r="I88" s="668"/>
      <c r="J88" s="668"/>
      <c r="K88" s="668"/>
      <c r="L88" s="668"/>
      <c r="M88" s="668"/>
      <c r="N88" s="668"/>
      <c r="O88" s="668"/>
      <c r="P88" s="668"/>
      <c r="Q88" s="634">
        <f aca="true" t="shared" si="9" ref="Q88:R95">E88-D88</f>
        <v>0</v>
      </c>
      <c r="R88" s="680">
        <f t="shared" si="9"/>
        <v>0</v>
      </c>
      <c r="T88" s="624">
        <f t="shared" si="4"/>
        <v>0</v>
      </c>
    </row>
    <row r="89" spans="1:20" ht="15" customHeight="1">
      <c r="A89" s="625"/>
      <c r="B89" s="621" t="s">
        <v>1224</v>
      </c>
      <c r="C89" s="626" t="s">
        <v>1209</v>
      </c>
      <c r="D89" s="668">
        <v>1.5433757963992523</v>
      </c>
      <c r="E89" s="668">
        <v>1.678691750642806</v>
      </c>
      <c r="F89" s="668">
        <v>1.9597596028220539</v>
      </c>
      <c r="G89" s="668">
        <v>2.6483050847457625</v>
      </c>
      <c r="H89" s="668">
        <v>11.77242225996872</v>
      </c>
      <c r="I89" s="668">
        <v>0.6573055402640725</v>
      </c>
      <c r="J89" s="668">
        <v>0.8770006577504933</v>
      </c>
      <c r="K89" s="668">
        <v>0.7830152799838923</v>
      </c>
      <c r="L89" s="668">
        <v>1.2164463547157571</v>
      </c>
      <c r="M89" s="668">
        <v>0.6785181164337087</v>
      </c>
      <c r="N89" s="668">
        <v>1.2109469605231291</v>
      </c>
      <c r="O89" s="668">
        <v>1.4821402104639099</v>
      </c>
      <c r="P89" s="668">
        <v>0.5267223821897605</v>
      </c>
      <c r="Q89" s="634">
        <f t="shared" si="9"/>
        <v>0.1353159542435538</v>
      </c>
      <c r="R89" s="680">
        <f t="shared" si="9"/>
        <v>0.2810678521792478</v>
      </c>
      <c r="T89" s="624">
        <f t="shared" si="4"/>
        <v>21.852822847039203</v>
      </c>
    </row>
    <row r="90" spans="1:20" ht="15" hidden="1">
      <c r="A90" s="625"/>
      <c r="B90" s="621" t="s">
        <v>1225</v>
      </c>
      <c r="C90" s="626"/>
      <c r="D90" s="614"/>
      <c r="E90" s="613"/>
      <c r="F90" s="614"/>
      <c r="G90" s="711"/>
      <c r="H90" s="711"/>
      <c r="I90" s="711"/>
      <c r="J90" s="711"/>
      <c r="K90" s="711"/>
      <c r="L90" s="711"/>
      <c r="M90" s="711"/>
      <c r="N90" s="711"/>
      <c r="O90" s="711"/>
      <c r="P90" s="711"/>
      <c r="Q90" s="634">
        <f t="shared" si="9"/>
        <v>0</v>
      </c>
      <c r="R90" s="680">
        <f t="shared" si="9"/>
        <v>0</v>
      </c>
      <c r="T90" s="624">
        <f t="shared" si="4"/>
        <v>0</v>
      </c>
    </row>
    <row r="91" spans="1:20" ht="15" customHeight="1">
      <c r="A91" s="625"/>
      <c r="B91" s="621" t="s">
        <v>1226</v>
      </c>
      <c r="C91" s="626" t="s">
        <v>19</v>
      </c>
      <c r="D91" s="607">
        <v>87.6923076923077</v>
      </c>
      <c r="E91" s="607">
        <v>96.92307692307692</v>
      </c>
      <c r="F91" s="607">
        <v>97.67441860465117</v>
      </c>
      <c r="G91" s="607">
        <v>100</v>
      </c>
      <c r="H91" s="607">
        <v>100</v>
      </c>
      <c r="I91" s="607">
        <v>100</v>
      </c>
      <c r="J91" s="607">
        <v>100</v>
      </c>
      <c r="K91" s="607">
        <v>100</v>
      </c>
      <c r="L91" s="607">
        <v>100</v>
      </c>
      <c r="M91" s="607">
        <v>100</v>
      </c>
      <c r="N91" s="607">
        <v>100</v>
      </c>
      <c r="O91" s="607">
        <v>90.9090909090909</v>
      </c>
      <c r="P91" s="607">
        <v>86.66666666666667</v>
      </c>
      <c r="Q91" s="634">
        <f t="shared" si="9"/>
        <v>9.230769230769226</v>
      </c>
      <c r="R91" s="680">
        <f t="shared" si="9"/>
        <v>0.751341681574246</v>
      </c>
      <c r="T91" s="624">
        <f t="shared" si="4"/>
        <v>977.5757575757575</v>
      </c>
    </row>
    <row r="92" spans="1:20" ht="15" hidden="1">
      <c r="A92" s="625"/>
      <c r="B92" s="621" t="s">
        <v>1227</v>
      </c>
      <c r="C92" s="626"/>
      <c r="D92" s="712"/>
      <c r="E92" s="614"/>
      <c r="F92" s="614"/>
      <c r="G92" s="713"/>
      <c r="H92" s="713"/>
      <c r="I92" s="713"/>
      <c r="J92" s="713"/>
      <c r="K92" s="713"/>
      <c r="L92" s="713"/>
      <c r="M92" s="713"/>
      <c r="N92" s="713"/>
      <c r="O92" s="713"/>
      <c r="P92" s="713"/>
      <c r="Q92" s="634">
        <f t="shared" si="9"/>
        <v>0</v>
      </c>
      <c r="R92" s="680">
        <f t="shared" si="9"/>
        <v>0</v>
      </c>
      <c r="T92" s="624">
        <f t="shared" si="4"/>
        <v>0</v>
      </c>
    </row>
    <row r="93" spans="1:20" ht="15" customHeight="1">
      <c r="A93" s="625"/>
      <c r="B93" s="621" t="s">
        <v>1228</v>
      </c>
      <c r="C93" s="626" t="s">
        <v>19</v>
      </c>
      <c r="D93" s="714">
        <v>93.84615384615384</v>
      </c>
      <c r="E93" s="714">
        <v>95.38461538461539</v>
      </c>
      <c r="F93" s="714">
        <v>97.67441860465117</v>
      </c>
      <c r="G93" s="714">
        <v>100</v>
      </c>
      <c r="H93" s="714">
        <v>100</v>
      </c>
      <c r="I93" s="714">
        <v>100</v>
      </c>
      <c r="J93" s="714">
        <v>100</v>
      </c>
      <c r="K93" s="714">
        <v>100</v>
      </c>
      <c r="L93" s="714">
        <v>100</v>
      </c>
      <c r="M93" s="714">
        <v>100</v>
      </c>
      <c r="N93" s="714">
        <v>100</v>
      </c>
      <c r="O93" s="714">
        <v>90.9090909090909</v>
      </c>
      <c r="P93" s="714">
        <v>86.66666666666667</v>
      </c>
      <c r="Q93" s="634">
        <f t="shared" si="9"/>
        <v>1.5384615384615472</v>
      </c>
      <c r="R93" s="680">
        <f t="shared" si="9"/>
        <v>2.289803220035779</v>
      </c>
      <c r="T93" s="624">
        <f t="shared" si="4"/>
        <v>977.5757575757575</v>
      </c>
    </row>
    <row r="94" spans="1:20" ht="15" hidden="1">
      <c r="A94" s="625"/>
      <c r="B94" s="621" t="s">
        <v>1229</v>
      </c>
      <c r="C94" s="626"/>
      <c r="D94" s="712"/>
      <c r="E94" s="613"/>
      <c r="F94" s="614"/>
      <c r="G94" s="713"/>
      <c r="H94" s="713"/>
      <c r="I94" s="713"/>
      <c r="J94" s="713"/>
      <c r="K94" s="713"/>
      <c r="L94" s="713"/>
      <c r="M94" s="713"/>
      <c r="N94" s="713"/>
      <c r="O94" s="713"/>
      <c r="P94" s="713"/>
      <c r="Q94" s="634">
        <f t="shared" si="9"/>
        <v>0</v>
      </c>
      <c r="R94" s="680">
        <f t="shared" si="9"/>
        <v>0</v>
      </c>
      <c r="T94" s="624">
        <f t="shared" si="4"/>
        <v>0</v>
      </c>
    </row>
    <row r="95" spans="1:20" ht="15" customHeight="1">
      <c r="A95" s="689"/>
      <c r="B95" s="621" t="s">
        <v>1230</v>
      </c>
      <c r="C95" s="626" t="s">
        <v>19</v>
      </c>
      <c r="D95" s="714">
        <v>95.69288389513109</v>
      </c>
      <c r="E95" s="714">
        <v>95.50561797752809</v>
      </c>
      <c r="F95" s="714">
        <v>95.63046192259675</v>
      </c>
      <c r="G95" s="714">
        <v>100</v>
      </c>
      <c r="H95" s="714">
        <v>100</v>
      </c>
      <c r="I95" s="714">
        <v>97.20430107526882</v>
      </c>
      <c r="J95" s="714">
        <v>93.56223175965665</v>
      </c>
      <c r="K95" s="714">
        <v>93.83259911894272</v>
      </c>
      <c r="L95" s="714">
        <v>96.89922480620154</v>
      </c>
      <c r="M95" s="714">
        <v>100</v>
      </c>
      <c r="N95" s="714">
        <v>97.27272727272728</v>
      </c>
      <c r="O95" s="714">
        <v>90.43478260869566</v>
      </c>
      <c r="P95" s="714">
        <v>92.36641221374046</v>
      </c>
      <c r="Q95" s="634">
        <f t="shared" si="9"/>
        <v>-0.18726591760299982</v>
      </c>
      <c r="R95" s="680">
        <f t="shared" si="9"/>
        <v>0.12484394506866181</v>
      </c>
      <c r="T95" s="624">
        <f t="shared" si="4"/>
        <v>961.572278855233</v>
      </c>
    </row>
    <row r="96" spans="1:20" ht="15" hidden="1">
      <c r="A96" s="627"/>
      <c r="B96" s="621" t="s">
        <v>1231</v>
      </c>
      <c r="C96" s="626"/>
      <c r="D96" s="715"/>
      <c r="E96" s="614"/>
      <c r="F96" s="614"/>
      <c r="G96" s="716"/>
      <c r="H96" s="716"/>
      <c r="I96" s="680"/>
      <c r="J96" s="680"/>
      <c r="K96" s="680"/>
      <c r="L96" s="680"/>
      <c r="M96" s="680"/>
      <c r="N96" s="680"/>
      <c r="O96" s="680"/>
      <c r="P96" s="680"/>
      <c r="Q96" s="634"/>
      <c r="R96" s="634"/>
      <c r="T96" s="624">
        <f t="shared" si="4"/>
        <v>0</v>
      </c>
    </row>
    <row r="97" spans="1:20" ht="15" customHeight="1">
      <c r="A97" s="646" t="s">
        <v>552</v>
      </c>
      <c r="B97" s="647" t="s">
        <v>1232</v>
      </c>
      <c r="C97" s="626"/>
      <c r="D97" s="615"/>
      <c r="E97" s="615"/>
      <c r="F97" s="615"/>
      <c r="G97" s="636"/>
      <c r="H97" s="636"/>
      <c r="I97" s="636"/>
      <c r="J97" s="636"/>
      <c r="K97" s="636"/>
      <c r="L97" s="636"/>
      <c r="M97" s="636"/>
      <c r="N97" s="636"/>
      <c r="O97" s="636"/>
      <c r="P97" s="636"/>
      <c r="Q97" s="634"/>
      <c r="R97" s="634"/>
      <c r="T97" s="624">
        <f t="shared" si="4"/>
        <v>0</v>
      </c>
    </row>
    <row r="98" spans="1:20" ht="25.5" hidden="1">
      <c r="A98" s="627" t="s">
        <v>652</v>
      </c>
      <c r="B98" s="621" t="s">
        <v>1233</v>
      </c>
      <c r="C98" s="626" t="s">
        <v>83</v>
      </c>
      <c r="D98" s="616"/>
      <c r="E98" s="616"/>
      <c r="F98" s="616"/>
      <c r="G98" s="636"/>
      <c r="H98" s="636"/>
      <c r="I98" s="635"/>
      <c r="J98" s="635"/>
      <c r="K98" s="635"/>
      <c r="L98" s="635"/>
      <c r="M98" s="635"/>
      <c r="N98" s="635"/>
      <c r="O98" s="635"/>
      <c r="P98" s="635"/>
      <c r="Q98" s="634"/>
      <c r="R98" s="634"/>
      <c r="T98" s="624">
        <f t="shared" si="4"/>
        <v>0</v>
      </c>
    </row>
    <row r="99" spans="1:20" ht="25.5" customHeight="1" hidden="1">
      <c r="A99" s="627"/>
      <c r="B99" s="610" t="s">
        <v>1234</v>
      </c>
      <c r="C99" s="626" t="s">
        <v>19</v>
      </c>
      <c r="D99" s="616"/>
      <c r="E99" s="616"/>
      <c r="F99" s="616"/>
      <c r="G99" s="616"/>
      <c r="H99" s="636"/>
      <c r="I99" s="635"/>
      <c r="J99" s="635"/>
      <c r="K99" s="635"/>
      <c r="L99" s="635"/>
      <c r="M99" s="635"/>
      <c r="N99" s="635"/>
      <c r="O99" s="635"/>
      <c r="P99" s="635"/>
      <c r="Q99" s="634"/>
      <c r="R99" s="634"/>
      <c r="T99" s="624">
        <f t="shared" si="4"/>
        <v>0</v>
      </c>
    </row>
    <row r="100" spans="1:20" ht="15" customHeight="1">
      <c r="A100" s="627"/>
      <c r="B100" s="621" t="s">
        <v>1235</v>
      </c>
      <c r="C100" s="626" t="s">
        <v>83</v>
      </c>
      <c r="D100" s="717">
        <v>84</v>
      </c>
      <c r="E100" s="717">
        <v>94</v>
      </c>
      <c r="F100" s="717">
        <v>103</v>
      </c>
      <c r="G100" s="718">
        <v>3</v>
      </c>
      <c r="H100" s="719">
        <v>8</v>
      </c>
      <c r="I100" s="720">
        <v>21</v>
      </c>
      <c r="J100" s="720">
        <v>11</v>
      </c>
      <c r="K100" s="720">
        <v>14</v>
      </c>
      <c r="L100" s="720">
        <v>9</v>
      </c>
      <c r="M100" s="720">
        <v>10</v>
      </c>
      <c r="N100" s="720">
        <v>9</v>
      </c>
      <c r="O100" s="720">
        <v>9</v>
      </c>
      <c r="P100" s="720">
        <v>9</v>
      </c>
      <c r="Q100" s="634">
        <f>E100/D100%</f>
        <v>111.90476190476191</v>
      </c>
      <c r="R100" s="634">
        <f>F100/E100%</f>
        <v>109.57446808510639</v>
      </c>
      <c r="T100" s="624">
        <f t="shared" si="4"/>
        <v>103</v>
      </c>
    </row>
    <row r="101" spans="1:20" ht="17.25" customHeight="1">
      <c r="A101" s="627"/>
      <c r="B101" s="621" t="s">
        <v>1236</v>
      </c>
      <c r="C101" s="626" t="s">
        <v>19</v>
      </c>
      <c r="D101" s="615">
        <f>D100/130%</f>
        <v>64.61538461538461</v>
      </c>
      <c r="E101" s="615">
        <f>E100/130%</f>
        <v>72.3076923076923</v>
      </c>
      <c r="F101" s="615">
        <f>F100/129%</f>
        <v>79.84496124031007</v>
      </c>
      <c r="G101" s="637">
        <v>100</v>
      </c>
      <c r="H101" s="637">
        <v>100</v>
      </c>
      <c r="I101" s="637">
        <v>84</v>
      </c>
      <c r="J101" s="637">
        <v>78.57142857142857</v>
      </c>
      <c r="K101" s="637">
        <v>73.6842105263158</v>
      </c>
      <c r="L101" s="637">
        <v>90</v>
      </c>
      <c r="M101" s="637">
        <v>83.33333333333333</v>
      </c>
      <c r="N101" s="637">
        <v>75</v>
      </c>
      <c r="O101" s="637">
        <v>81.81818181818181</v>
      </c>
      <c r="P101" s="637">
        <v>60</v>
      </c>
      <c r="Q101" s="634">
        <f>E101-D101</f>
        <v>7.692307692307693</v>
      </c>
      <c r="R101" s="634">
        <f>F101-E101</f>
        <v>7.5372689326177635</v>
      </c>
      <c r="T101" s="624">
        <f t="shared" si="4"/>
        <v>826.4071542492595</v>
      </c>
    </row>
    <row r="102" spans="1:20" ht="15">
      <c r="A102" s="646" t="s">
        <v>1237</v>
      </c>
      <c r="B102" s="647" t="s">
        <v>1238</v>
      </c>
      <c r="C102" s="626"/>
      <c r="D102" s="617"/>
      <c r="E102" s="617"/>
      <c r="F102" s="617"/>
      <c r="G102" s="616"/>
      <c r="H102" s="649"/>
      <c r="I102" s="649"/>
      <c r="J102" s="649"/>
      <c r="K102" s="649"/>
      <c r="L102" s="649"/>
      <c r="M102" s="649"/>
      <c r="N102" s="649"/>
      <c r="O102" s="649"/>
      <c r="P102" s="649"/>
      <c r="Q102" s="634"/>
      <c r="R102" s="634"/>
      <c r="T102" s="624">
        <f t="shared" si="4"/>
        <v>0</v>
      </c>
    </row>
    <row r="103" spans="1:20" ht="15">
      <c r="A103" s="646">
        <v>1</v>
      </c>
      <c r="B103" s="647" t="s">
        <v>1239</v>
      </c>
      <c r="C103" s="626"/>
      <c r="D103" s="615"/>
      <c r="E103" s="615"/>
      <c r="F103" s="615"/>
      <c r="G103" s="636"/>
      <c r="H103" s="636"/>
      <c r="I103" s="635"/>
      <c r="J103" s="635"/>
      <c r="K103" s="635"/>
      <c r="L103" s="635"/>
      <c r="M103" s="635"/>
      <c r="N103" s="635"/>
      <c r="O103" s="635"/>
      <c r="P103" s="635"/>
      <c r="Q103" s="634"/>
      <c r="R103" s="634"/>
      <c r="T103" s="624">
        <f t="shared" si="4"/>
        <v>0</v>
      </c>
    </row>
    <row r="104" spans="1:20" ht="15">
      <c r="A104" s="694" t="s">
        <v>690</v>
      </c>
      <c r="B104" s="695" t="s">
        <v>1240</v>
      </c>
      <c r="C104" s="696" t="s">
        <v>185</v>
      </c>
      <c r="D104" s="721">
        <v>576658</v>
      </c>
      <c r="E104" s="721">
        <v>601659</v>
      </c>
      <c r="F104" s="721">
        <v>612320</v>
      </c>
      <c r="G104" s="722">
        <v>11328</v>
      </c>
      <c r="H104" s="722">
        <v>59461</v>
      </c>
      <c r="I104" s="722">
        <v>121709</v>
      </c>
      <c r="J104" s="722">
        <v>68415</v>
      </c>
      <c r="K104" s="722">
        <v>89398</v>
      </c>
      <c r="L104" s="722">
        <v>49324</v>
      </c>
      <c r="M104" s="722">
        <v>58952</v>
      </c>
      <c r="N104" s="722">
        <v>49548</v>
      </c>
      <c r="O104" s="722">
        <v>47229</v>
      </c>
      <c r="P104" s="722">
        <v>56956</v>
      </c>
      <c r="Q104" s="697">
        <f>E104/D104%</f>
        <v>104.33549868379525</v>
      </c>
      <c r="R104" s="697">
        <f>F104/E104%</f>
        <v>101.7719339360003</v>
      </c>
      <c r="T104" s="624">
        <f t="shared" si="4"/>
        <v>612320</v>
      </c>
    </row>
    <row r="105" spans="1:20" s="692" customFormat="1" ht="14.25">
      <c r="A105" s="678"/>
      <c r="B105" s="621" t="s">
        <v>1241</v>
      </c>
      <c r="C105" s="626" t="s">
        <v>1143</v>
      </c>
      <c r="D105" s="629">
        <v>22.9</v>
      </c>
      <c r="E105" s="629">
        <v>22.4</v>
      </c>
      <c r="F105" s="629">
        <v>21.9</v>
      </c>
      <c r="G105" s="620"/>
      <c r="H105" s="637"/>
      <c r="I105" s="620"/>
      <c r="J105" s="620"/>
      <c r="K105" s="620"/>
      <c r="L105" s="620"/>
      <c r="M105" s="620"/>
      <c r="N105" s="620"/>
      <c r="O105" s="620"/>
      <c r="P105" s="620"/>
      <c r="Q105" s="634">
        <f aca="true" t="shared" si="10" ref="Q105:R111">E105-D105</f>
        <v>-0.5</v>
      </c>
      <c r="R105" s="634">
        <f t="shared" si="10"/>
        <v>-0.5</v>
      </c>
      <c r="T105" s="693">
        <f t="shared" si="4"/>
        <v>0</v>
      </c>
    </row>
    <row r="106" spans="1:20" ht="15">
      <c r="A106" s="625"/>
      <c r="B106" s="621" t="s">
        <v>1242</v>
      </c>
      <c r="C106" s="626" t="s">
        <v>1143</v>
      </c>
      <c r="D106" s="723">
        <v>18.02</v>
      </c>
      <c r="E106" s="723">
        <v>15.65</v>
      </c>
      <c r="F106" s="723">
        <v>15.25</v>
      </c>
      <c r="G106" s="681"/>
      <c r="H106" s="681"/>
      <c r="I106" s="620"/>
      <c r="J106" s="620"/>
      <c r="K106" s="620"/>
      <c r="L106" s="620"/>
      <c r="M106" s="620"/>
      <c r="N106" s="620"/>
      <c r="O106" s="620"/>
      <c r="P106" s="620"/>
      <c r="Q106" s="634">
        <f t="shared" si="10"/>
        <v>-2.369999999999999</v>
      </c>
      <c r="R106" s="634">
        <f t="shared" si="10"/>
        <v>-0.40000000000000036</v>
      </c>
      <c r="T106" s="624">
        <f t="shared" si="4"/>
        <v>0</v>
      </c>
    </row>
    <row r="107" spans="1:20" ht="15" hidden="1">
      <c r="A107" s="625"/>
      <c r="B107" s="621" t="s">
        <v>1243</v>
      </c>
      <c r="C107" s="626"/>
      <c r="D107" s="638"/>
      <c r="E107" s="629"/>
      <c r="F107" s="638"/>
      <c r="G107" s="675"/>
      <c r="H107" s="724"/>
      <c r="I107" s="635"/>
      <c r="J107" s="635"/>
      <c r="K107" s="635"/>
      <c r="L107" s="635"/>
      <c r="M107" s="635"/>
      <c r="N107" s="725"/>
      <c r="O107" s="635"/>
      <c r="P107" s="635"/>
      <c r="Q107" s="634">
        <f t="shared" si="10"/>
        <v>0</v>
      </c>
      <c r="R107" s="634">
        <f t="shared" si="10"/>
        <v>0</v>
      </c>
      <c r="T107" s="624">
        <f t="shared" si="4"/>
        <v>0</v>
      </c>
    </row>
    <row r="108" spans="1:20" ht="15" customHeight="1">
      <c r="A108" s="625"/>
      <c r="B108" s="621" t="s">
        <v>1244</v>
      </c>
      <c r="C108" s="626" t="s">
        <v>1143</v>
      </c>
      <c r="D108" s="632">
        <v>0.40000000000000213</v>
      </c>
      <c r="E108" s="632">
        <v>0.5</v>
      </c>
      <c r="F108" s="632">
        <v>0.5</v>
      </c>
      <c r="G108" s="724"/>
      <c r="H108" s="724"/>
      <c r="I108" s="635"/>
      <c r="J108" s="635"/>
      <c r="K108" s="635"/>
      <c r="L108" s="635"/>
      <c r="M108" s="635"/>
      <c r="N108" s="635"/>
      <c r="O108" s="635"/>
      <c r="P108" s="635"/>
      <c r="Q108" s="634">
        <f t="shared" si="10"/>
        <v>0.09999999999999787</v>
      </c>
      <c r="R108" s="634">
        <f t="shared" si="10"/>
        <v>0</v>
      </c>
      <c r="T108" s="624">
        <f t="shared" si="4"/>
        <v>0</v>
      </c>
    </row>
    <row r="109" spans="1:20" ht="15" hidden="1">
      <c r="A109" s="625"/>
      <c r="B109" s="621"/>
      <c r="C109" s="626"/>
      <c r="D109" s="632"/>
      <c r="E109" s="632"/>
      <c r="F109" s="632"/>
      <c r="G109" s="724"/>
      <c r="H109" s="724"/>
      <c r="I109" s="635"/>
      <c r="J109" s="635"/>
      <c r="K109" s="635"/>
      <c r="L109" s="635"/>
      <c r="M109" s="635"/>
      <c r="N109" s="635"/>
      <c r="O109" s="635"/>
      <c r="P109" s="635"/>
      <c r="Q109" s="634">
        <f t="shared" si="10"/>
        <v>0</v>
      </c>
      <c r="R109" s="634">
        <f t="shared" si="10"/>
        <v>0</v>
      </c>
      <c r="T109" s="624">
        <f t="shared" si="4"/>
        <v>0</v>
      </c>
    </row>
    <row r="110" spans="1:20" ht="15" customHeight="1">
      <c r="A110" s="625"/>
      <c r="B110" s="621" t="s">
        <v>1245</v>
      </c>
      <c r="C110" s="626" t="s">
        <v>19</v>
      </c>
      <c r="D110" s="726">
        <v>1.7117821053949798</v>
      </c>
      <c r="E110" s="726">
        <v>4.335498683795247</v>
      </c>
      <c r="F110" s="726">
        <v>1.7719339360002924</v>
      </c>
      <c r="G110" s="724"/>
      <c r="H110" s="724"/>
      <c r="I110" s="635"/>
      <c r="J110" s="635"/>
      <c r="K110" s="635"/>
      <c r="L110" s="634"/>
      <c r="M110" s="635"/>
      <c r="N110" s="619"/>
      <c r="O110" s="635"/>
      <c r="P110" s="635"/>
      <c r="Q110" s="634">
        <f t="shared" si="10"/>
        <v>2.6237165784002676</v>
      </c>
      <c r="R110" s="634">
        <f t="shared" si="10"/>
        <v>-2.5635647477949552</v>
      </c>
      <c r="T110" s="624">
        <f t="shared" si="4"/>
        <v>0</v>
      </c>
    </row>
    <row r="111" spans="1:20" ht="38.25">
      <c r="A111" s="689"/>
      <c r="B111" s="621" t="s">
        <v>1246</v>
      </c>
      <c r="C111" s="626" t="s">
        <v>1247</v>
      </c>
      <c r="D111" s="637">
        <v>112.59612426945556</v>
      </c>
      <c r="E111" s="637">
        <v>109</v>
      </c>
      <c r="F111" s="637">
        <v>109</v>
      </c>
      <c r="G111" s="724"/>
      <c r="H111" s="724"/>
      <c r="I111" s="635"/>
      <c r="J111" s="635"/>
      <c r="K111" s="635"/>
      <c r="L111" s="635"/>
      <c r="M111" s="633"/>
      <c r="N111" s="635"/>
      <c r="O111" s="635"/>
      <c r="P111" s="635"/>
      <c r="Q111" s="634">
        <f t="shared" si="10"/>
        <v>-3.596124269455558</v>
      </c>
      <c r="R111" s="634">
        <f t="shared" si="10"/>
        <v>0</v>
      </c>
      <c r="T111" s="624">
        <f t="shared" si="4"/>
        <v>0</v>
      </c>
    </row>
    <row r="112" spans="1:20" ht="15">
      <c r="A112" s="646" t="s">
        <v>697</v>
      </c>
      <c r="B112" s="647" t="s">
        <v>1248</v>
      </c>
      <c r="C112" s="626"/>
      <c r="D112" s="618"/>
      <c r="E112" s="618"/>
      <c r="F112" s="618"/>
      <c r="G112" s="618"/>
      <c r="H112" s="618"/>
      <c r="I112" s="618"/>
      <c r="J112" s="618"/>
      <c r="K112" s="618"/>
      <c r="L112" s="618"/>
      <c r="M112" s="618"/>
      <c r="N112" s="618"/>
      <c r="O112" s="618"/>
      <c r="P112" s="618"/>
      <c r="Q112" s="634"/>
      <c r="R112" s="634"/>
      <c r="T112" s="624">
        <f t="shared" si="4"/>
        <v>0</v>
      </c>
    </row>
    <row r="113" spans="1:20" ht="15">
      <c r="A113" s="727"/>
      <c r="B113" s="728" t="s">
        <v>1249</v>
      </c>
      <c r="C113" s="729" t="s">
        <v>185</v>
      </c>
      <c r="D113" s="721">
        <v>288920</v>
      </c>
      <c r="E113" s="721">
        <v>304842</v>
      </c>
      <c r="F113" s="721">
        <v>310297</v>
      </c>
      <c r="G113" s="730">
        <v>5541</v>
      </c>
      <c r="H113" s="730">
        <v>29653</v>
      </c>
      <c r="I113" s="730">
        <v>61117</v>
      </c>
      <c r="J113" s="730">
        <v>35001</v>
      </c>
      <c r="K113" s="730">
        <v>45234</v>
      </c>
      <c r="L113" s="730">
        <v>25003</v>
      </c>
      <c r="M113" s="730">
        <v>30046</v>
      </c>
      <c r="N113" s="730">
        <v>25213</v>
      </c>
      <c r="O113" s="730">
        <v>24444</v>
      </c>
      <c r="P113" s="730">
        <v>29045</v>
      </c>
      <c r="Q113" s="634">
        <f>E113/D113%</f>
        <v>105.51086806036274</v>
      </c>
      <c r="R113" s="634">
        <f>F113/E113%</f>
        <v>101.78945158475538</v>
      </c>
      <c r="T113" s="624">
        <f aca="true" t="shared" si="11" ref="T113:T127">SUM(G113:P113)</f>
        <v>310297</v>
      </c>
    </row>
    <row r="114" spans="1:20" s="734" customFormat="1" ht="15">
      <c r="A114" s="727"/>
      <c r="B114" s="728" t="s">
        <v>1250</v>
      </c>
      <c r="C114" s="729" t="s">
        <v>19</v>
      </c>
      <c r="D114" s="668">
        <v>50.1</v>
      </c>
      <c r="E114" s="731">
        <v>50.08</v>
      </c>
      <c r="F114" s="732">
        <v>50.67562712307291</v>
      </c>
      <c r="G114" s="733">
        <v>48.91419491525424</v>
      </c>
      <c r="H114" s="733">
        <v>49.869662467836065</v>
      </c>
      <c r="I114" s="733">
        <v>50.215678380399154</v>
      </c>
      <c r="J114" s="733">
        <v>51.15983336987503</v>
      </c>
      <c r="K114" s="733">
        <v>50.59844739255912</v>
      </c>
      <c r="L114" s="733">
        <v>50.69134701159679</v>
      </c>
      <c r="M114" s="733">
        <v>50.966888315918034</v>
      </c>
      <c r="N114" s="733">
        <v>50.88600952611609</v>
      </c>
      <c r="O114" s="733">
        <v>51.75633614939973</v>
      </c>
      <c r="P114" s="733">
        <v>50.99550530233865</v>
      </c>
      <c r="Q114" s="679">
        <f>E114-D114</f>
        <v>-0.020000000000003126</v>
      </c>
      <c r="R114" s="679">
        <f>F114-E114</f>
        <v>0.5956271230729087</v>
      </c>
      <c r="T114" s="735">
        <f t="shared" si="11"/>
        <v>506.0539028312929</v>
      </c>
    </row>
    <row r="115" spans="1:20" s="734" customFormat="1" ht="15">
      <c r="A115" s="727"/>
      <c r="B115" s="728" t="s">
        <v>1251</v>
      </c>
      <c r="C115" s="729" t="s">
        <v>185</v>
      </c>
      <c r="D115" s="721">
        <v>287738</v>
      </c>
      <c r="E115" s="721">
        <v>296817</v>
      </c>
      <c r="F115" s="721">
        <v>302023</v>
      </c>
      <c r="G115" s="736">
        <v>5787</v>
      </c>
      <c r="H115" s="736">
        <v>29808</v>
      </c>
      <c r="I115" s="736">
        <v>60592</v>
      </c>
      <c r="J115" s="736">
        <v>33414</v>
      </c>
      <c r="K115" s="736">
        <v>44164</v>
      </c>
      <c r="L115" s="736">
        <v>24321</v>
      </c>
      <c r="M115" s="736">
        <v>28906</v>
      </c>
      <c r="N115" s="736">
        <v>24335</v>
      </c>
      <c r="O115" s="736">
        <v>22785</v>
      </c>
      <c r="P115" s="736">
        <v>27911</v>
      </c>
      <c r="Q115" s="634">
        <f>E115/D115%</f>
        <v>103.15530100299577</v>
      </c>
      <c r="R115" s="634">
        <f>F115/E115%</f>
        <v>101.75394266500908</v>
      </c>
      <c r="T115" s="735">
        <f t="shared" si="11"/>
        <v>302023</v>
      </c>
    </row>
    <row r="116" spans="1:20" s="734" customFormat="1" ht="15">
      <c r="A116" s="727"/>
      <c r="B116" s="728" t="s">
        <v>1250</v>
      </c>
      <c r="C116" s="729" t="s">
        <v>19</v>
      </c>
      <c r="D116" s="668">
        <v>49.9</v>
      </c>
      <c r="E116" s="731">
        <v>49.92</v>
      </c>
      <c r="F116" s="668">
        <v>49.3243728769271</v>
      </c>
      <c r="G116" s="668">
        <v>51.08580508474576</v>
      </c>
      <c r="H116" s="668">
        <v>50.130337532163935</v>
      </c>
      <c r="I116" s="668">
        <v>49.784321619600846</v>
      </c>
      <c r="J116" s="668">
        <v>48.84016663012497</v>
      </c>
      <c r="K116" s="668">
        <v>49.40155260744088</v>
      </c>
      <c r="L116" s="668">
        <v>49.30865298840321</v>
      </c>
      <c r="M116" s="668">
        <v>49.033111684081966</v>
      </c>
      <c r="N116" s="668">
        <v>49.11399047388391</v>
      </c>
      <c r="O116" s="668">
        <v>48.24366385060027</v>
      </c>
      <c r="P116" s="668">
        <v>49.00449469766135</v>
      </c>
      <c r="Q116" s="679">
        <f>E116-D116</f>
        <v>0.020000000000003126</v>
      </c>
      <c r="R116" s="679">
        <f>F116-E116</f>
        <v>-0.5956271230729016</v>
      </c>
      <c r="T116" s="735">
        <f t="shared" si="11"/>
        <v>493.9460971687071</v>
      </c>
    </row>
    <row r="117" spans="1:20" s="734" customFormat="1" ht="15">
      <c r="A117" s="646" t="s">
        <v>705</v>
      </c>
      <c r="B117" s="647" t="s">
        <v>1252</v>
      </c>
      <c r="C117" s="626"/>
      <c r="D117" s="619"/>
      <c r="E117" s="619"/>
      <c r="F117" s="619"/>
      <c r="G117" s="619"/>
      <c r="H117" s="619"/>
      <c r="I117" s="619"/>
      <c r="J117" s="619"/>
      <c r="K117" s="619"/>
      <c r="L117" s="619"/>
      <c r="M117" s="619"/>
      <c r="N117" s="619"/>
      <c r="O117" s="619"/>
      <c r="P117" s="619"/>
      <c r="Q117" s="634"/>
      <c r="R117" s="634"/>
      <c r="T117" s="735">
        <f t="shared" si="11"/>
        <v>0</v>
      </c>
    </row>
    <row r="118" spans="1:20" ht="15">
      <c r="A118" s="727"/>
      <c r="B118" s="728" t="s">
        <v>1253</v>
      </c>
      <c r="C118" s="729" t="s">
        <v>185</v>
      </c>
      <c r="D118" s="639">
        <v>87179</v>
      </c>
      <c r="E118" s="639">
        <v>86515</v>
      </c>
      <c r="F118" s="639">
        <v>87928</v>
      </c>
      <c r="G118" s="737">
        <v>6169</v>
      </c>
      <c r="H118" s="737">
        <v>56195</v>
      </c>
      <c r="I118" s="738">
        <v>0</v>
      </c>
      <c r="J118" s="737">
        <v>3558</v>
      </c>
      <c r="K118" s="737">
        <v>8220</v>
      </c>
      <c r="L118" s="737">
        <v>5499</v>
      </c>
      <c r="M118" s="737">
        <v>3955</v>
      </c>
      <c r="N118" s="737">
        <v>4332</v>
      </c>
      <c r="O118" s="738">
        <v>0</v>
      </c>
      <c r="P118" s="738">
        <v>0</v>
      </c>
      <c r="Q118" s="634">
        <f>E118/D118%</f>
        <v>99.23834868488971</v>
      </c>
      <c r="R118" s="634">
        <f>F118/E118%</f>
        <v>101.63324279026759</v>
      </c>
      <c r="T118" s="624">
        <f t="shared" si="11"/>
        <v>87928</v>
      </c>
    </row>
    <row r="119" spans="1:20" s="734" customFormat="1" ht="15">
      <c r="A119" s="727"/>
      <c r="B119" s="728" t="s">
        <v>1250</v>
      </c>
      <c r="C119" s="729" t="s">
        <v>19</v>
      </c>
      <c r="D119" s="668">
        <v>15.12</v>
      </c>
      <c r="E119" s="726">
        <v>15.14</v>
      </c>
      <c r="F119" s="668">
        <v>14.359811863078129</v>
      </c>
      <c r="G119" s="733">
        <v>54.4579802259887</v>
      </c>
      <c r="H119" s="733">
        <v>94.50732412842031</v>
      </c>
      <c r="I119" s="738">
        <v>0</v>
      </c>
      <c r="J119" s="733">
        <v>5.200613900460425</v>
      </c>
      <c r="K119" s="733">
        <v>9.194836573525135</v>
      </c>
      <c r="L119" s="733">
        <v>11.148730840969913</v>
      </c>
      <c r="M119" s="733">
        <v>6.708847876238296</v>
      </c>
      <c r="N119" s="733">
        <v>8.743037054976991</v>
      </c>
      <c r="O119" s="738">
        <v>0</v>
      </c>
      <c r="P119" s="738">
        <v>0</v>
      </c>
      <c r="Q119" s="679">
        <f>E119-D119</f>
        <v>0.02000000000000135</v>
      </c>
      <c r="R119" s="679">
        <f>F119-E119</f>
        <v>-0.7801881369218719</v>
      </c>
      <c r="T119" s="735">
        <f t="shared" si="11"/>
        <v>189.96137060057976</v>
      </c>
    </row>
    <row r="120" spans="1:20" s="734" customFormat="1" ht="15">
      <c r="A120" s="727"/>
      <c r="B120" s="728" t="s">
        <v>1254</v>
      </c>
      <c r="C120" s="729" t="s">
        <v>185</v>
      </c>
      <c r="D120" s="639">
        <v>489479</v>
      </c>
      <c r="E120" s="639">
        <v>515144</v>
      </c>
      <c r="F120" s="639">
        <v>524392</v>
      </c>
      <c r="G120" s="639">
        <v>5159</v>
      </c>
      <c r="H120" s="639">
        <v>3266</v>
      </c>
      <c r="I120" s="639">
        <v>121709</v>
      </c>
      <c r="J120" s="639">
        <v>64857</v>
      </c>
      <c r="K120" s="639">
        <v>81178</v>
      </c>
      <c r="L120" s="639">
        <v>43825</v>
      </c>
      <c r="M120" s="639">
        <v>54997</v>
      </c>
      <c r="N120" s="639">
        <v>45216</v>
      </c>
      <c r="O120" s="639">
        <v>47229</v>
      </c>
      <c r="P120" s="639">
        <v>56956</v>
      </c>
      <c r="Q120" s="634">
        <f>E120/D120%</f>
        <v>105.24333015308113</v>
      </c>
      <c r="R120" s="634">
        <f>F120/E120%</f>
        <v>101.79522618918206</v>
      </c>
      <c r="T120" s="735">
        <f t="shared" si="11"/>
        <v>524392</v>
      </c>
    </row>
    <row r="121" spans="1:20" s="734" customFormat="1" ht="15">
      <c r="A121" s="627"/>
      <c r="B121" s="621" t="s">
        <v>1250</v>
      </c>
      <c r="C121" s="626" t="s">
        <v>19</v>
      </c>
      <c r="D121" s="668">
        <v>84.88</v>
      </c>
      <c r="E121" s="726">
        <v>84.86</v>
      </c>
      <c r="F121" s="668">
        <v>85.64018813692186</v>
      </c>
      <c r="G121" s="668">
        <v>45.5420197740113</v>
      </c>
      <c r="H121" s="668">
        <v>5.492675871579692</v>
      </c>
      <c r="I121" s="668">
        <v>100</v>
      </c>
      <c r="J121" s="668">
        <v>94.79938609953957</v>
      </c>
      <c r="K121" s="668">
        <v>90.80516342647486</v>
      </c>
      <c r="L121" s="668">
        <v>88.85126915903008</v>
      </c>
      <c r="M121" s="668">
        <v>93.2911521237617</v>
      </c>
      <c r="N121" s="668">
        <v>91.256962945023</v>
      </c>
      <c r="O121" s="668">
        <v>100</v>
      </c>
      <c r="P121" s="668">
        <v>100</v>
      </c>
      <c r="Q121" s="679">
        <f aca="true" t="shared" si="12" ref="Q121:R126">E121-D121</f>
        <v>-0.01999999999999602</v>
      </c>
      <c r="R121" s="679">
        <f t="shared" si="12"/>
        <v>0.7801881369218648</v>
      </c>
      <c r="T121" s="735">
        <f t="shared" si="11"/>
        <v>810.0386293994202</v>
      </c>
    </row>
    <row r="122" spans="1:20" ht="15">
      <c r="A122" s="646">
        <v>2</v>
      </c>
      <c r="B122" s="647" t="s">
        <v>1255</v>
      </c>
      <c r="C122" s="626"/>
      <c r="D122" s="617"/>
      <c r="E122" s="617"/>
      <c r="F122" s="617"/>
      <c r="G122" s="636"/>
      <c r="H122" s="739"/>
      <c r="I122" s="635"/>
      <c r="J122" s="635"/>
      <c r="K122" s="635"/>
      <c r="L122" s="635"/>
      <c r="M122" s="635"/>
      <c r="N122" s="635"/>
      <c r="O122" s="635"/>
      <c r="P122" s="635"/>
      <c r="Q122" s="679"/>
      <c r="R122" s="679"/>
      <c r="T122" s="624">
        <f t="shared" si="11"/>
        <v>0</v>
      </c>
    </row>
    <row r="123" spans="1:20" ht="15">
      <c r="A123" s="678"/>
      <c r="B123" s="621" t="s">
        <v>1256</v>
      </c>
      <c r="C123" s="626" t="s">
        <v>19</v>
      </c>
      <c r="D123" s="679">
        <v>27.724578519677173</v>
      </c>
      <c r="E123" s="634">
        <v>27</v>
      </c>
      <c r="F123" s="679">
        <v>26.95</v>
      </c>
      <c r="G123" s="649"/>
      <c r="H123" s="649"/>
      <c r="I123" s="634"/>
      <c r="J123" s="635"/>
      <c r="K123" s="635"/>
      <c r="L123" s="635"/>
      <c r="M123" s="634"/>
      <c r="N123" s="635"/>
      <c r="O123" s="635"/>
      <c r="P123" s="635"/>
      <c r="Q123" s="679">
        <f t="shared" si="12"/>
        <v>-0.7245785196771735</v>
      </c>
      <c r="R123" s="679">
        <f t="shared" si="12"/>
        <v>-0.05000000000000071</v>
      </c>
      <c r="T123" s="624">
        <f t="shared" si="11"/>
        <v>0</v>
      </c>
    </row>
    <row r="124" spans="1:20" ht="15">
      <c r="A124" s="625"/>
      <c r="B124" s="621" t="s">
        <v>1257</v>
      </c>
      <c r="C124" s="626" t="s">
        <v>19</v>
      </c>
      <c r="D124" s="617">
        <v>20.23400351681586</v>
      </c>
      <c r="E124" s="634">
        <v>19.4</v>
      </c>
      <c r="F124" s="634">
        <v>19.33</v>
      </c>
      <c r="G124" s="649"/>
      <c r="H124" s="649"/>
      <c r="I124" s="634"/>
      <c r="J124" s="635"/>
      <c r="K124" s="635"/>
      <c r="L124" s="635"/>
      <c r="M124" s="634"/>
      <c r="N124" s="635"/>
      <c r="O124" s="635"/>
      <c r="P124" s="635"/>
      <c r="Q124" s="679">
        <f t="shared" si="12"/>
        <v>-0.8340035168158622</v>
      </c>
      <c r="R124" s="679">
        <f t="shared" si="12"/>
        <v>-0.07000000000000028</v>
      </c>
      <c r="T124" s="624">
        <f t="shared" si="11"/>
        <v>0</v>
      </c>
    </row>
    <row r="125" spans="1:20" ht="15">
      <c r="A125" s="625"/>
      <c r="B125" s="621" t="s">
        <v>1258</v>
      </c>
      <c r="C125" s="626" t="s">
        <v>19</v>
      </c>
      <c r="D125" s="617">
        <v>64.37037735363941</v>
      </c>
      <c r="E125" s="629">
        <v>69</v>
      </c>
      <c r="F125" s="629">
        <v>69</v>
      </c>
      <c r="G125" s="634"/>
      <c r="H125" s="634"/>
      <c r="I125" s="634"/>
      <c r="J125" s="634"/>
      <c r="K125" s="634"/>
      <c r="L125" s="634"/>
      <c r="M125" s="634"/>
      <c r="N125" s="634"/>
      <c r="O125" s="634"/>
      <c r="P125" s="635"/>
      <c r="Q125" s="679">
        <f t="shared" si="12"/>
        <v>4.629622646360588</v>
      </c>
      <c r="R125" s="679">
        <f t="shared" si="12"/>
        <v>0</v>
      </c>
      <c r="T125" s="624">
        <f t="shared" si="11"/>
        <v>0</v>
      </c>
    </row>
    <row r="126" spans="1:20" ht="25.5" customHeight="1">
      <c r="A126" s="740"/>
      <c r="B126" s="621" t="s">
        <v>1259</v>
      </c>
      <c r="C126" s="626" t="s">
        <v>19</v>
      </c>
      <c r="D126" s="617">
        <v>19.07</v>
      </c>
      <c r="E126" s="629">
        <v>18.7</v>
      </c>
      <c r="F126" s="629">
        <v>18.3</v>
      </c>
      <c r="G126" s="649"/>
      <c r="H126" s="724"/>
      <c r="I126" s="635"/>
      <c r="J126" s="635"/>
      <c r="K126" s="635"/>
      <c r="L126" s="634"/>
      <c r="M126" s="635"/>
      <c r="N126" s="635"/>
      <c r="O126" s="635"/>
      <c r="P126" s="635"/>
      <c r="Q126" s="679">
        <f t="shared" si="12"/>
        <v>-0.370000000000001</v>
      </c>
      <c r="R126" s="679">
        <f t="shared" si="12"/>
        <v>-0.3999999999999986</v>
      </c>
      <c r="T126" s="624">
        <f t="shared" si="11"/>
        <v>0</v>
      </c>
    </row>
    <row r="127" spans="1:20" ht="15">
      <c r="A127" s="694" t="s">
        <v>1260</v>
      </c>
      <c r="B127" s="741" t="s">
        <v>1261</v>
      </c>
      <c r="C127" s="742" t="s">
        <v>185</v>
      </c>
      <c r="D127" s="743">
        <f>D128*D104/100</f>
        <v>573255.7178</v>
      </c>
      <c r="E127" s="743">
        <f aca="true" t="shared" si="13" ref="E127:P127">E128*E104/100</f>
        <v>593837.4330000001</v>
      </c>
      <c r="F127" s="743">
        <f t="shared" si="13"/>
        <v>604972.16</v>
      </c>
      <c r="G127" s="743">
        <f t="shared" si="13"/>
        <v>10761.6</v>
      </c>
      <c r="H127" s="743">
        <f t="shared" si="13"/>
        <v>56487.95</v>
      </c>
      <c r="I127" s="743">
        <f t="shared" si="13"/>
        <v>119274.82</v>
      </c>
      <c r="J127" s="743">
        <f t="shared" si="13"/>
        <v>68415</v>
      </c>
      <c r="K127" s="743">
        <f t="shared" si="13"/>
        <v>88504.02</v>
      </c>
      <c r="L127" s="743">
        <f t="shared" si="13"/>
        <v>48830.76</v>
      </c>
      <c r="M127" s="743">
        <f t="shared" si="13"/>
        <v>58952</v>
      </c>
      <c r="N127" s="743">
        <f t="shared" si="13"/>
        <v>49300.26</v>
      </c>
      <c r="O127" s="743">
        <f t="shared" si="13"/>
        <v>47229</v>
      </c>
      <c r="P127" s="743">
        <f t="shared" si="13"/>
        <v>56956</v>
      </c>
      <c r="Q127" s="744">
        <f>E127/D127%</f>
        <v>103.59032008943358</v>
      </c>
      <c r="R127" s="744">
        <f>F127/E127%</f>
        <v>101.87504633107223</v>
      </c>
      <c r="T127" s="624">
        <f t="shared" si="11"/>
        <v>604711.41</v>
      </c>
    </row>
    <row r="128" spans="1:18" s="692" customFormat="1" ht="17.25" customHeight="1">
      <c r="A128" s="652"/>
      <c r="B128" s="745" t="s">
        <v>1262</v>
      </c>
      <c r="C128" s="654" t="s">
        <v>19</v>
      </c>
      <c r="D128" s="651">
        <v>99.41</v>
      </c>
      <c r="E128" s="746">
        <v>98.7</v>
      </c>
      <c r="F128" s="746">
        <v>98.8</v>
      </c>
      <c r="G128" s="746">
        <v>95</v>
      </c>
      <c r="H128" s="746">
        <v>95</v>
      </c>
      <c r="I128" s="746">
        <v>98</v>
      </c>
      <c r="J128" s="746">
        <v>100</v>
      </c>
      <c r="K128" s="746">
        <v>99</v>
      </c>
      <c r="L128" s="746">
        <v>99</v>
      </c>
      <c r="M128" s="746">
        <v>100</v>
      </c>
      <c r="N128" s="746">
        <v>99.5</v>
      </c>
      <c r="O128" s="746">
        <v>100</v>
      </c>
      <c r="P128" s="746">
        <v>100</v>
      </c>
      <c r="Q128" s="657">
        <f>E128-D128</f>
        <v>-0.7099999999999937</v>
      </c>
      <c r="R128" s="657">
        <f>F128-E128</f>
        <v>0.09999999999999432</v>
      </c>
    </row>
    <row r="129" spans="1:21" s="658" customFormat="1" ht="23.25" customHeight="1">
      <c r="A129" s="646" t="s">
        <v>1263</v>
      </c>
      <c r="B129" s="647" t="s">
        <v>1264</v>
      </c>
      <c r="C129" s="648"/>
      <c r="D129" s="640"/>
      <c r="E129" s="640"/>
      <c r="F129" s="640"/>
      <c r="G129" s="657"/>
      <c r="H129" s="657"/>
      <c r="I129" s="657"/>
      <c r="J129" s="657"/>
      <c r="K129" s="657"/>
      <c r="L129" s="672"/>
      <c r="M129" s="672"/>
      <c r="N129" s="657"/>
      <c r="O129" s="672"/>
      <c r="P129" s="672"/>
      <c r="Q129" s="697"/>
      <c r="R129" s="697"/>
      <c r="U129" s="747">
        <f>SUM(G130:P130)</f>
        <v>0</v>
      </c>
    </row>
    <row r="130" spans="1:18" ht="25.5">
      <c r="A130" s="627">
        <v>1</v>
      </c>
      <c r="B130" s="621" t="s">
        <v>1265</v>
      </c>
      <c r="C130" s="626" t="s">
        <v>19</v>
      </c>
      <c r="D130" s="748">
        <v>89.35239206534422</v>
      </c>
      <c r="E130" s="651">
        <v>91</v>
      </c>
      <c r="F130" s="651">
        <v>91</v>
      </c>
      <c r="G130" s="635"/>
      <c r="H130" s="635"/>
      <c r="I130" s="635"/>
      <c r="J130" s="635"/>
      <c r="K130" s="635"/>
      <c r="L130" s="635"/>
      <c r="M130" s="635"/>
      <c r="N130" s="635"/>
      <c r="O130" s="635"/>
      <c r="P130" s="635"/>
      <c r="Q130" s="634">
        <f>E130-D130</f>
        <v>1.647607934655781</v>
      </c>
      <c r="R130" s="634">
        <f>F130-E130</f>
        <v>0</v>
      </c>
    </row>
    <row r="131" spans="1:18" ht="25.5">
      <c r="A131" s="627">
        <v>2</v>
      </c>
      <c r="B131" s="621" t="s">
        <v>1266</v>
      </c>
      <c r="C131" s="626" t="s">
        <v>19</v>
      </c>
      <c r="D131" s="651">
        <v>4.3</v>
      </c>
      <c r="E131" s="651">
        <v>4.3</v>
      </c>
      <c r="F131" s="651" t="s">
        <v>1334</v>
      </c>
      <c r="G131" s="635"/>
      <c r="H131" s="635"/>
      <c r="I131" s="635"/>
      <c r="J131" s="635"/>
      <c r="K131" s="635"/>
      <c r="L131" s="635"/>
      <c r="M131" s="635"/>
      <c r="N131" s="635"/>
      <c r="O131" s="635"/>
      <c r="P131" s="635"/>
      <c r="Q131" s="634">
        <f>E131-D131</f>
        <v>0</v>
      </c>
      <c r="R131" s="634"/>
    </row>
    <row r="132" spans="1:18" ht="38.25" hidden="1">
      <c r="A132" s="627"/>
      <c r="B132" s="621" t="s">
        <v>1267</v>
      </c>
      <c r="C132" s="626" t="s">
        <v>19</v>
      </c>
      <c r="D132" s="651"/>
      <c r="E132" s="641"/>
      <c r="F132" s="641"/>
      <c r="G132" s="635"/>
      <c r="H132" s="635"/>
      <c r="I132" s="635"/>
      <c r="J132" s="635"/>
      <c r="K132" s="635"/>
      <c r="L132" s="635"/>
      <c r="M132" s="635"/>
      <c r="N132" s="635"/>
      <c r="O132" s="635"/>
      <c r="P132" s="635"/>
      <c r="Q132" s="634">
        <f>E132-D132</f>
        <v>0</v>
      </c>
      <c r="R132" s="634"/>
    </row>
    <row r="133" spans="1:18" ht="38.25" customHeight="1">
      <c r="A133" s="627">
        <v>3</v>
      </c>
      <c r="B133" s="621" t="s">
        <v>1268</v>
      </c>
      <c r="C133" s="626" t="s">
        <v>185</v>
      </c>
      <c r="D133" s="633">
        <v>2649</v>
      </c>
      <c r="E133" s="620">
        <v>2780</v>
      </c>
      <c r="F133" s="620">
        <v>3480</v>
      </c>
      <c r="G133" s="635"/>
      <c r="H133" s="635"/>
      <c r="I133" s="635"/>
      <c r="J133" s="635"/>
      <c r="K133" s="635"/>
      <c r="L133" s="635"/>
      <c r="M133" s="635"/>
      <c r="N133" s="635"/>
      <c r="O133" s="635"/>
      <c r="P133" s="635"/>
      <c r="Q133" s="634">
        <f>E133/D133%</f>
        <v>104.94526236315592</v>
      </c>
      <c r="R133" s="634">
        <f>F133/E133%</f>
        <v>125.17985611510791</v>
      </c>
    </row>
    <row r="134" spans="1:18" ht="25.5">
      <c r="A134" s="646" t="s">
        <v>1269</v>
      </c>
      <c r="B134" s="647" t="s">
        <v>1005</v>
      </c>
      <c r="C134" s="537"/>
      <c r="D134" s="620"/>
      <c r="E134" s="620"/>
      <c r="F134" s="620"/>
      <c r="G134" s="620"/>
      <c r="H134" s="620"/>
      <c r="I134" s="620"/>
      <c r="J134" s="620"/>
      <c r="K134" s="620"/>
      <c r="L134" s="620"/>
      <c r="M134" s="620"/>
      <c r="N134" s="620"/>
      <c r="O134" s="620"/>
      <c r="P134" s="620"/>
      <c r="Q134" s="620"/>
      <c r="R134" s="620"/>
    </row>
    <row r="135" spans="1:18" s="706" customFormat="1" ht="14.25">
      <c r="A135" s="627">
        <v>1</v>
      </c>
      <c r="B135" s="621" t="s">
        <v>1270</v>
      </c>
      <c r="C135" s="626" t="s">
        <v>19</v>
      </c>
      <c r="D135" s="634">
        <v>93.44794909976987</v>
      </c>
      <c r="E135" s="634">
        <v>95</v>
      </c>
      <c r="F135" s="634">
        <v>95</v>
      </c>
      <c r="G135" s="651"/>
      <c r="H135" s="651"/>
      <c r="I135" s="651"/>
      <c r="J135" s="651"/>
      <c r="K135" s="651"/>
      <c r="L135" s="651"/>
      <c r="M135" s="651"/>
      <c r="N135" s="651"/>
      <c r="O135" s="651"/>
      <c r="P135" s="651"/>
      <c r="Q135" s="651">
        <f aca="true" t="shared" si="14" ref="Q135:R141">E135-D135</f>
        <v>1.5520509002301281</v>
      </c>
      <c r="R135" s="651">
        <f>F135-E135</f>
        <v>0</v>
      </c>
    </row>
    <row r="136" spans="1:18" ht="15">
      <c r="A136" s="627">
        <v>2</v>
      </c>
      <c r="B136" s="621" t="s">
        <v>1271</v>
      </c>
      <c r="C136" s="626" t="s">
        <v>19</v>
      </c>
      <c r="D136" s="634">
        <v>86.82821172329768</v>
      </c>
      <c r="E136" s="634">
        <v>95</v>
      </c>
      <c r="F136" s="634">
        <v>95</v>
      </c>
      <c r="G136" s="651"/>
      <c r="H136" s="651"/>
      <c r="I136" s="651"/>
      <c r="J136" s="651"/>
      <c r="K136" s="651"/>
      <c r="L136" s="651"/>
      <c r="M136" s="651"/>
      <c r="N136" s="651"/>
      <c r="O136" s="651"/>
      <c r="P136" s="651"/>
      <c r="Q136" s="651">
        <f t="shared" si="14"/>
        <v>8.171788276702316</v>
      </c>
      <c r="R136" s="651">
        <f t="shared" si="14"/>
        <v>0</v>
      </c>
    </row>
    <row r="137" spans="1:18" ht="15">
      <c r="A137" s="627">
        <v>3</v>
      </c>
      <c r="B137" s="621" t="s">
        <v>1272</v>
      </c>
      <c r="C137" s="626" t="s">
        <v>19</v>
      </c>
      <c r="D137" s="634">
        <v>90.72048990814223</v>
      </c>
      <c r="E137" s="634">
        <v>95</v>
      </c>
      <c r="F137" s="634">
        <v>95</v>
      </c>
      <c r="G137" s="651"/>
      <c r="H137" s="651"/>
      <c r="I137" s="651"/>
      <c r="J137" s="651"/>
      <c r="K137" s="651"/>
      <c r="L137" s="651"/>
      <c r="M137" s="651"/>
      <c r="N137" s="651"/>
      <c r="O137" s="651"/>
      <c r="P137" s="651"/>
      <c r="Q137" s="651">
        <f t="shared" si="14"/>
        <v>4.279510091857773</v>
      </c>
      <c r="R137" s="651">
        <f t="shared" si="14"/>
        <v>0</v>
      </c>
    </row>
    <row r="138" spans="1:18" ht="15">
      <c r="A138" s="627">
        <v>4</v>
      </c>
      <c r="B138" s="621" t="s">
        <v>1273</v>
      </c>
      <c r="C138" s="626" t="s">
        <v>19</v>
      </c>
      <c r="D138" s="634">
        <v>94.00184356070582</v>
      </c>
      <c r="E138" s="634">
        <v>95</v>
      </c>
      <c r="F138" s="634">
        <v>95</v>
      </c>
      <c r="G138" s="651"/>
      <c r="H138" s="651"/>
      <c r="I138" s="651"/>
      <c r="J138" s="651"/>
      <c r="K138" s="651"/>
      <c r="L138" s="651"/>
      <c r="M138" s="651"/>
      <c r="N138" s="651"/>
      <c r="O138" s="651"/>
      <c r="P138" s="651"/>
      <c r="Q138" s="651">
        <f t="shared" si="14"/>
        <v>0.9981564392941777</v>
      </c>
      <c r="R138" s="651">
        <f t="shared" si="14"/>
        <v>0</v>
      </c>
    </row>
    <row r="139" spans="1:18" ht="25.5">
      <c r="A139" s="627">
        <v>5</v>
      </c>
      <c r="B139" s="621" t="s">
        <v>1274</v>
      </c>
      <c r="C139" s="626" t="s">
        <v>19</v>
      </c>
      <c r="D139" s="635">
        <v>48.3</v>
      </c>
      <c r="E139" s="634">
        <v>50</v>
      </c>
      <c r="F139" s="634">
        <v>52</v>
      </c>
      <c r="G139" s="651"/>
      <c r="H139" s="651"/>
      <c r="I139" s="651"/>
      <c r="J139" s="651"/>
      <c r="K139" s="651"/>
      <c r="L139" s="651"/>
      <c r="M139" s="651"/>
      <c r="N139" s="651"/>
      <c r="O139" s="651"/>
      <c r="P139" s="651"/>
      <c r="Q139" s="651">
        <f t="shared" si="14"/>
        <v>1.7000000000000028</v>
      </c>
      <c r="R139" s="651">
        <f t="shared" si="14"/>
        <v>2</v>
      </c>
    </row>
    <row r="140" spans="1:18" ht="15">
      <c r="A140" s="627">
        <v>6</v>
      </c>
      <c r="B140" s="621" t="s">
        <v>1275</v>
      </c>
      <c r="C140" s="626" t="s">
        <v>19</v>
      </c>
      <c r="D140" s="634">
        <v>58.13384113166485</v>
      </c>
      <c r="E140" s="634">
        <v>60</v>
      </c>
      <c r="F140" s="634">
        <v>60</v>
      </c>
      <c r="G140" s="651"/>
      <c r="H140" s="651"/>
      <c r="I140" s="651"/>
      <c r="J140" s="651"/>
      <c r="K140" s="651"/>
      <c r="L140" s="651"/>
      <c r="M140" s="651"/>
      <c r="N140" s="651"/>
      <c r="O140" s="651"/>
      <c r="P140" s="651"/>
      <c r="Q140" s="651">
        <f t="shared" si="14"/>
        <v>1.8661588683351482</v>
      </c>
      <c r="R140" s="651">
        <f t="shared" si="14"/>
        <v>0</v>
      </c>
    </row>
    <row r="141" spans="1:18" ht="25.5">
      <c r="A141" s="627">
        <v>7</v>
      </c>
      <c r="B141" s="621" t="s">
        <v>1276</v>
      </c>
      <c r="C141" s="626" t="s">
        <v>19</v>
      </c>
      <c r="D141" s="634">
        <v>83.39227421109902</v>
      </c>
      <c r="E141" s="634">
        <v>90</v>
      </c>
      <c r="F141" s="634">
        <v>90</v>
      </c>
      <c r="G141" s="651"/>
      <c r="H141" s="651"/>
      <c r="I141" s="651"/>
      <c r="J141" s="651"/>
      <c r="K141" s="651"/>
      <c r="L141" s="651"/>
      <c r="M141" s="651"/>
      <c r="N141" s="651"/>
      <c r="O141" s="651"/>
      <c r="P141" s="651"/>
      <c r="Q141" s="651">
        <f t="shared" si="14"/>
        <v>6.607725788900979</v>
      </c>
      <c r="R141" s="651">
        <f t="shared" si="14"/>
        <v>0</v>
      </c>
    </row>
  </sheetData>
  <sheetProtection/>
  <mergeCells count="11">
    <mergeCell ref="G5:P5"/>
    <mergeCell ref="Q5:R5"/>
    <mergeCell ref="S8:S26"/>
    <mergeCell ref="A2:R2"/>
    <mergeCell ref="A3:R3"/>
    <mergeCell ref="A5:A6"/>
    <mergeCell ref="B5:B6"/>
    <mergeCell ref="C5:C6"/>
    <mergeCell ref="D5:D6"/>
    <mergeCell ref="E5:E6"/>
    <mergeCell ref="F5:F6"/>
  </mergeCells>
  <printOptions horizontalCentered="1"/>
  <pageMargins left="0.35433070866141736" right="0.21" top="0.43" bottom="0.58" header="0.31496062992125984" footer="0.42"/>
  <pageSetup horizontalDpi="600" verticalDpi="600" orientation="landscape" paperSize="9" scale="89"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164A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xp sp2 Full</dc:creator>
  <cp:keywords/>
  <dc:description/>
  <cp:lastModifiedBy>My PC</cp:lastModifiedBy>
  <cp:lastPrinted>2019-12-02T13:46:05Z</cp:lastPrinted>
  <dcterms:created xsi:type="dcterms:W3CDTF">2005-06-03T06:49:00Z</dcterms:created>
  <dcterms:modified xsi:type="dcterms:W3CDTF">2019-12-03T03:28:29Z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wner">
    <vt:lpwstr>Nguyen Duc Thinh</vt:lpwstr>
  </property>
  <property fmtid="{D5CDD505-2E9C-101B-9397-08002B2CF9AE}" pid="3" name="KSOProductBuildVer">
    <vt:lpwstr>1033-10.2.0.5871</vt:lpwstr>
  </property>
</Properties>
</file>